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ita\OneDrive\Área de Trabalho\DOC DIRETORIA DE DEP\GRÁFICOS DE ACOMPANHAMENTO PEDAGÓGICO\"/>
    </mc:Choice>
  </mc:AlternateContent>
  <bookViews>
    <workbookView xWindow="0" yWindow="0" windowWidth="20490" windowHeight="7755"/>
  </bookViews>
  <sheets>
    <sheet name="1º ano " sheetId="17" r:id="rId1"/>
    <sheet name="2º ano " sheetId="16" r:id="rId2"/>
    <sheet name="3º ano " sheetId="15" r:id="rId3"/>
    <sheet name="4º ano " sheetId="18" r:id="rId4"/>
    <sheet name="5º ano" sheetId="19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29" i="19" l="1"/>
  <c r="H29" i="19"/>
  <c r="G29" i="19"/>
  <c r="F29" i="19"/>
  <c r="E29" i="19"/>
  <c r="D29" i="19"/>
  <c r="J30" i="19"/>
  <c r="A53" i="19"/>
  <c r="A52" i="19"/>
  <c r="A51" i="19"/>
  <c r="A50" i="19"/>
  <c r="A49" i="19"/>
  <c r="A48" i="19"/>
  <c r="A47" i="19"/>
  <c r="A46" i="19"/>
  <c r="A44" i="19"/>
  <c r="A43" i="19"/>
  <c r="A42" i="19"/>
  <c r="A41" i="19"/>
  <c r="A40" i="19"/>
  <c r="A39" i="19"/>
  <c r="A38" i="19"/>
  <c r="A37" i="19"/>
  <c r="I29" i="18"/>
  <c r="H29" i="18"/>
  <c r="G29" i="18"/>
  <c r="F29" i="18"/>
  <c r="E29" i="18"/>
  <c r="D29" i="18"/>
  <c r="J30" i="18"/>
  <c r="A53" i="18"/>
  <c r="A52" i="18"/>
  <c r="A51" i="18"/>
  <c r="A50" i="18"/>
  <c r="A49" i="18"/>
  <c r="A48" i="18"/>
  <c r="A47" i="18"/>
  <c r="A46" i="18"/>
  <c r="A45" i="18"/>
  <c r="A44" i="18"/>
  <c r="A43" i="18"/>
  <c r="A42" i="18"/>
  <c r="A41" i="18"/>
  <c r="A40" i="18"/>
  <c r="A39" i="18"/>
  <c r="A38" i="18"/>
  <c r="A37" i="18"/>
  <c r="I29" i="15"/>
  <c r="H29" i="15"/>
  <c r="G29" i="15"/>
  <c r="F29" i="15"/>
  <c r="E29" i="15"/>
  <c r="D29" i="15"/>
  <c r="A53" i="15"/>
  <c r="A52" i="15"/>
  <c r="A51" i="15"/>
  <c r="A50" i="15"/>
  <c r="A49" i="15"/>
  <c r="A48" i="15"/>
  <c r="A47" i="15"/>
  <c r="A46" i="15"/>
  <c r="A45" i="15"/>
  <c r="A44" i="15"/>
  <c r="A43" i="15"/>
  <c r="A42" i="15"/>
  <c r="A41" i="15"/>
  <c r="A40" i="15"/>
  <c r="A39" i="15"/>
  <c r="A38" i="15"/>
  <c r="A37" i="15"/>
  <c r="I29" i="16"/>
  <c r="H29" i="16"/>
  <c r="G29" i="16"/>
  <c r="F29" i="16"/>
  <c r="E29" i="16"/>
  <c r="D29" i="16"/>
  <c r="A53" i="16"/>
  <c r="A52" i="16"/>
  <c r="A51" i="16"/>
  <c r="A50" i="16"/>
  <c r="A49" i="16"/>
  <c r="A48" i="16"/>
  <c r="A47" i="16"/>
  <c r="A46" i="16"/>
  <c r="A45" i="16"/>
  <c r="A44" i="16"/>
  <c r="A43" i="16"/>
  <c r="A42" i="16"/>
  <c r="A41" i="16"/>
  <c r="A40" i="16"/>
  <c r="A39" i="16"/>
  <c r="A38" i="16"/>
  <c r="A37" i="16"/>
  <c r="I29" i="17"/>
  <c r="H29" i="17"/>
  <c r="G29" i="17"/>
  <c r="F29" i="17"/>
  <c r="E29" i="17"/>
  <c r="D29" i="17"/>
  <c r="A53" i="17"/>
  <c r="A52" i="17"/>
  <c r="A51" i="17"/>
  <c r="A50" i="17"/>
  <c r="A49" i="17"/>
  <c r="A48" i="17"/>
  <c r="A47" i="17"/>
  <c r="A46" i="17"/>
  <c r="A45" i="17"/>
  <c r="A44" i="17"/>
  <c r="A43" i="17"/>
  <c r="A42" i="17"/>
  <c r="A41" i="17"/>
  <c r="A40" i="17"/>
  <c r="A39" i="17"/>
  <c r="A38" i="17"/>
  <c r="A37" i="17"/>
  <c r="J30" i="15"/>
  <c r="J30" i="16"/>
  <c r="J30" i="17" l="1"/>
  <c r="D54" i="17" l="1"/>
  <c r="D54" i="15" l="1"/>
  <c r="I54" i="18" l="1"/>
  <c r="H54" i="18"/>
  <c r="G54" i="18"/>
  <c r="F54" i="18"/>
  <c r="E54" i="18"/>
  <c r="D54" i="18"/>
  <c r="I54" i="19" l="1"/>
  <c r="H54" i="19"/>
  <c r="G54" i="19"/>
  <c r="F54" i="19"/>
  <c r="E54" i="19"/>
  <c r="D54" i="19"/>
  <c r="I54" i="15"/>
  <c r="H54" i="15"/>
  <c r="G54" i="15"/>
  <c r="F54" i="15"/>
  <c r="E54" i="15"/>
  <c r="I54" i="16"/>
  <c r="H54" i="16"/>
  <c r="G54" i="16"/>
  <c r="F54" i="16"/>
  <c r="E54" i="16"/>
  <c r="D54" i="16"/>
  <c r="I54" i="17"/>
  <c r="H54" i="17"/>
  <c r="G54" i="17"/>
  <c r="F54" i="17"/>
  <c r="E54" i="17"/>
  <c r="J54" i="15" l="1"/>
</calcChain>
</file>

<file path=xl/sharedStrings.xml><?xml version="1.0" encoding="utf-8"?>
<sst xmlns="http://schemas.openxmlformats.org/spreadsheetml/2006/main" count="197" uniqueCount="52">
  <si>
    <t>Silábico sem Valor</t>
  </si>
  <si>
    <t>Silábico com Valor</t>
  </si>
  <si>
    <t>Silábico Alfabético</t>
  </si>
  <si>
    <t>Alfabético</t>
  </si>
  <si>
    <t>Alfabetizado</t>
  </si>
  <si>
    <t>Nº Alunos</t>
  </si>
  <si>
    <t>Pré-Silábico</t>
  </si>
  <si>
    <t>NÍvel</t>
  </si>
  <si>
    <t>Escolas</t>
  </si>
  <si>
    <t>Totais</t>
  </si>
  <si>
    <t>Anna Ruth</t>
  </si>
  <si>
    <t>Cônego</t>
  </si>
  <si>
    <t>Etelvino</t>
  </si>
  <si>
    <t>Glauca</t>
  </si>
  <si>
    <t>Gregório</t>
  </si>
  <si>
    <t>Maria Ap. V. Campos</t>
  </si>
  <si>
    <t>Maria Helena</t>
  </si>
  <si>
    <t>Maria José</t>
  </si>
  <si>
    <t>Marcolino</t>
  </si>
  <si>
    <t>Miguel</t>
  </si>
  <si>
    <t>Miriam Corsini</t>
  </si>
  <si>
    <t>Myriam S. Bastos</t>
  </si>
  <si>
    <t>Nelsina</t>
  </si>
  <si>
    <t>Paschoal</t>
  </si>
  <si>
    <t>Padre Giorgio</t>
  </si>
  <si>
    <t>Sylvia C. Baldy</t>
  </si>
  <si>
    <t>Maria App. C. Lima</t>
  </si>
  <si>
    <t>HIPÓTESE DE ESCRITA 1º Ano / 2022</t>
  </si>
  <si>
    <t>Nível de Aprendizagem 1º Ano / 2022</t>
  </si>
  <si>
    <t>HIPÓTESE DE ESCRITA 2º Ano / 2022</t>
  </si>
  <si>
    <t>HIPÓTESE DE ESCRITA 3º Ano / 2022</t>
  </si>
  <si>
    <t>3º Ano  / 2022</t>
  </si>
  <si>
    <t>Nível de Aprendizagem 3º Ano / 2022</t>
  </si>
  <si>
    <t>2º Ano  / 2022</t>
  </si>
  <si>
    <t>Nível de Aprendizagem 2º Ano / 2022</t>
  </si>
  <si>
    <t>HIPÓTESE DE ESCRITA 4º Ano / 2022</t>
  </si>
  <si>
    <t>4º Ano  / 2022</t>
  </si>
  <si>
    <t>Nível de Aprendizagem 4º Ano / 2022</t>
  </si>
  <si>
    <t>HIPÓTESE DE ESCRITA 5º Ano / 2022</t>
  </si>
  <si>
    <t>5º Ano  / 2022</t>
  </si>
  <si>
    <t>Nível de Aprendizagem 5º Ano / 2022</t>
  </si>
  <si>
    <t>Porcentagem</t>
  </si>
  <si>
    <t>Nº de alunos</t>
  </si>
  <si>
    <t>4º BIMESTRE</t>
  </si>
  <si>
    <t>41%  não atingiram a meta.</t>
  </si>
  <si>
    <t>48%  não atingiram a meta.</t>
  </si>
  <si>
    <t>32% não estão alfabetizados</t>
  </si>
  <si>
    <t>18% não estão alfabetizados</t>
  </si>
  <si>
    <t>9% não estão alfabetizados</t>
  </si>
  <si>
    <t xml:space="preserve"> </t>
  </si>
  <si>
    <t xml:space="preserve">               </t>
  </si>
  <si>
    <t xml:space="preserve">B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</si>
</sst>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b/>
      <sz val="20"/>
      <color theme="3"/>
      <name val="Arial"/>
      <family val="2"/>
    </font>
    <font>
      <b/>
      <u/>
      <sz val="20"/>
      <color theme="3"/>
      <name val="Arial"/>
      <family val="2"/>
    </font>
    <font>
      <sz val="3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33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9" fontId="0" fillId="0" borderId="0" xfId="0" applyNumberFormat="1"/>
    <xf numFmtId="9" fontId="2" fillId="2" borderId="1" xfId="0" applyNumberFormat="1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9" fontId="1" fillId="2" borderId="1" xfId="0" applyNumberFormat="1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2" borderId="1" xfId="0" applyFont="1" applyFill="1" applyBorder="1"/>
    <xf numFmtId="9" fontId="0" fillId="0" borderId="0" xfId="1" applyFont="1"/>
    <xf numFmtId="0" fontId="0" fillId="3" borderId="1" xfId="0" applyFill="1" applyBorder="1"/>
    <xf numFmtId="9" fontId="0" fillId="3" borderId="0" xfId="1" applyFont="1" applyFill="1"/>
    <xf numFmtId="0" fontId="1" fillId="3" borderId="0" xfId="0" applyFont="1" applyFill="1"/>
    <xf numFmtId="0" fontId="0" fillId="3" borderId="0" xfId="0" applyFill="1"/>
    <xf numFmtId="0" fontId="13" fillId="0" borderId="1" xfId="0" applyFont="1" applyBorder="1" applyAlignment="1">
      <alignment horizontal="center" vertical="center" wrapText="1"/>
    </xf>
    <xf numFmtId="0" fontId="0" fillId="3" borderId="2" xfId="0" applyFill="1" applyBorder="1"/>
    <xf numFmtId="0" fontId="12" fillId="3" borderId="2" xfId="0" applyFont="1" applyFill="1" applyBorder="1" applyAlignment="1">
      <alignment horizontal="left" wrapText="1"/>
    </xf>
    <xf numFmtId="0" fontId="12" fillId="3" borderId="4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</cellXfs>
  <cellStyles count="2">
    <cellStyle name="Normal" xfId="0" builtinId="0"/>
    <cellStyle name="Porcentagem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Pt>
            <c:idx val="1"/>
            <c:invertIfNegative val="0"/>
            <c:bubble3D val="0"/>
            <c:spPr>
              <a:solidFill>
                <a:srgbClr val="00B05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D263-4EF3-A4C6-DF127C5A1C1E}"/>
              </c:ext>
            </c:extLst>
          </c:dPt>
          <c:dPt>
            <c:idx val="2"/>
            <c:invertIfNegative val="0"/>
            <c:bubble3D val="0"/>
            <c:spPr>
              <a:solidFill>
                <a:srgbClr val="FFFF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D263-4EF3-A4C6-DF127C5A1C1E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D263-4EF3-A4C6-DF127C5A1C1E}"/>
              </c:ext>
            </c:extLst>
          </c:dPt>
          <c:dPt>
            <c:idx val="4"/>
            <c:invertIfNegative val="0"/>
            <c:bubble3D val="0"/>
            <c:spPr>
              <a:solidFill>
                <a:srgbClr val="FF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D263-4EF3-A4C6-DF127C5A1C1E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D263-4EF3-A4C6-DF127C5A1C1E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'1º ano '!$D$28:$I$28</c:f>
              <c:strCache>
                <c:ptCount val="6"/>
                <c:pt idx="0">
                  <c:v>Pré-Silábico</c:v>
                </c:pt>
                <c:pt idx="1">
                  <c:v>Silábico sem Valor</c:v>
                </c:pt>
                <c:pt idx="2">
                  <c:v>Silábico com Valor</c:v>
                </c:pt>
                <c:pt idx="3">
                  <c:v>Silábico Alfabético</c:v>
                </c:pt>
                <c:pt idx="4">
                  <c:v>Alfabético</c:v>
                </c:pt>
                <c:pt idx="5">
                  <c:v>Alfabetizado</c:v>
                </c:pt>
              </c:strCache>
            </c:strRef>
          </c:cat>
          <c:val>
            <c:numRef>
              <c:f>'1º ano '!$D$29:$I$29</c:f>
              <c:numCache>
                <c:formatCode>0%</c:formatCode>
                <c:ptCount val="6"/>
                <c:pt idx="0">
                  <c:v>7.0588235294117646E-2</c:v>
                </c:pt>
                <c:pt idx="1">
                  <c:v>4.3697478991596636E-2</c:v>
                </c:pt>
                <c:pt idx="2">
                  <c:v>0.1226890756302521</c:v>
                </c:pt>
                <c:pt idx="3">
                  <c:v>0.16806722689075632</c:v>
                </c:pt>
                <c:pt idx="4">
                  <c:v>0.35294117647058826</c:v>
                </c:pt>
                <c:pt idx="5">
                  <c:v>0.24201680672268908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A-D263-4EF3-A4C6-DF127C5A1C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6756984"/>
        <c:axId val="387324376"/>
      </c:barChart>
      <c:catAx>
        <c:axId val="38675698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87324376"/>
        <c:crosses val="autoZero"/>
        <c:auto val="1"/>
        <c:lblAlgn val="ctr"/>
        <c:lblOffset val="100"/>
        <c:noMultiLvlLbl val="0"/>
      </c:catAx>
      <c:valAx>
        <c:axId val="387324376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38675698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600" b="1" i="0" u="none" strike="noStrike" kern="1200" spc="100" baseline="0">
                <a:solidFill>
                  <a:sysClr val="window" lastClr="FFFFFF">
                    <a:lumMod val="95000"/>
                  </a:sys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pt-BR" sz="1800" b="1" i="0" baseline="0">
                <a:solidFill>
                  <a:schemeClr val="tx1"/>
                </a:solidFill>
                <a:effectLst/>
              </a:rPr>
              <a:t>PORCENTAGEM POR ESCOLA  </a:t>
            </a:r>
            <a:endParaRPr lang="pt-BR">
              <a:solidFill>
                <a:schemeClr val="tx1"/>
              </a:solidFill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600" b="1" i="0" u="none" strike="noStrike" kern="1200" spc="100" baseline="0">
              <a:solidFill>
                <a:sysClr val="window" lastClr="FFFFFF">
                  <a:lumMod val="95000"/>
                </a:sys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FF00"/>
            </a:solidFill>
            <a:ln>
              <a:solidFill>
                <a:srgbClr val="FFFF00"/>
              </a:solidFill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'1º ano '!$A$37:$A$53</c:f>
              <c:numCache>
                <c:formatCode>0%</c:formatCode>
                <c:ptCount val="17"/>
                <c:pt idx="0">
                  <c:v>0.41935483870967744</c:v>
                </c:pt>
                <c:pt idx="1">
                  <c:v>0.31372549019607843</c:v>
                </c:pt>
                <c:pt idx="2">
                  <c:v>0.875</c:v>
                </c:pt>
                <c:pt idx="3">
                  <c:v>0.66666666666666663</c:v>
                </c:pt>
                <c:pt idx="4">
                  <c:v>0.52</c:v>
                </c:pt>
                <c:pt idx="5">
                  <c:v>0.37037037037037035</c:v>
                </c:pt>
                <c:pt idx="6">
                  <c:v>0.32432432432432434</c:v>
                </c:pt>
                <c:pt idx="7">
                  <c:v>0.45714285714285713</c:v>
                </c:pt>
                <c:pt idx="8">
                  <c:v>0.22222222222222221</c:v>
                </c:pt>
                <c:pt idx="9">
                  <c:v>0.5</c:v>
                </c:pt>
                <c:pt idx="10">
                  <c:v>0.21052631578947367</c:v>
                </c:pt>
                <c:pt idx="11">
                  <c:v>0.20930232558139536</c:v>
                </c:pt>
                <c:pt idx="12">
                  <c:v>0.40350877192982454</c:v>
                </c:pt>
                <c:pt idx="13">
                  <c:v>0.39393939393939392</c:v>
                </c:pt>
                <c:pt idx="14">
                  <c:v>0.16666666666666666</c:v>
                </c:pt>
                <c:pt idx="15">
                  <c:v>0.48936170212765956</c:v>
                </c:pt>
                <c:pt idx="16">
                  <c:v>0.3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B1-4F31-BB3E-EF5AF092ACB1}"/>
            </c:ext>
          </c:extLst>
        </c:ser>
        <c:ser>
          <c:idx val="1"/>
          <c:order val="1"/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val>
            <c:numRef>
              <c:f>'1º ano '!$B$37:$B$53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2FB1-4F31-BB3E-EF5AF092AC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386407800"/>
        <c:axId val="141105904"/>
        <c:extLst xmlns:c16r2="http://schemas.microsoft.com/office/drawing/2015/06/chart">
          <c:ext xmlns:c15="http://schemas.microsoft.com/office/drawing/2012/chart" uri="{02D57815-91ED-43cb-92C2-25804820EDAC}">
            <c15:filteredBarSeries>
              <c15:ser>
                <c:idx val="2"/>
                <c:order val="2"/>
                <c:spPr>
                  <a:gradFill rotWithShape="1">
                    <a:gsLst>
                      <a:gs pos="0">
                        <a:schemeClr val="accent3">
                          <a:shade val="51000"/>
                          <a:satMod val="130000"/>
                        </a:schemeClr>
                      </a:gs>
                      <a:gs pos="80000">
                        <a:schemeClr val="accent3">
                          <a:shade val="93000"/>
                          <a:satMod val="130000"/>
                        </a:schemeClr>
                      </a:gs>
                      <a:gs pos="100000">
                        <a:schemeClr val="accent3">
                          <a:shade val="94000"/>
                          <a:satMod val="135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  <a:scene3d>
                    <a:camera prst="orthographicFront">
                      <a:rot lat="0" lon="0" rev="0"/>
                    </a:camera>
                    <a:lightRig rig="threePt" dir="t">
                      <a:rot lat="0" lon="0" rev="1200000"/>
                    </a:lightRig>
                  </a:scene3d>
                  <a:sp3d>
                    <a:bevelT w="63500" h="25400"/>
                  </a:sp3d>
                </c:spPr>
                <c:invertIfNegative val="0"/>
                <c:val>
                  <c:numRef>
                    <c:extLst xmlns:c16r2="http://schemas.microsoft.com/office/drawing/2015/06/chart">
                      <c:ext uri="{02D57815-91ED-43cb-92C2-25804820EDAC}">
                        <c15:formulaRef>
                          <c15:sqref>'1º ano '!$C$37:$C$53</c15:sqref>
                        </c15:formulaRef>
                      </c:ext>
                    </c:extLst>
                    <c:numCache>
                      <c:formatCode>General</c:formatCode>
                      <c:ptCount val="17"/>
                    </c:numCache>
                  </c:numRef>
                </c:val>
                <c:extLst xmlns:c16r2="http://schemas.microsoft.com/office/drawing/2015/06/chart">
                  <c:ext xmlns:c16="http://schemas.microsoft.com/office/drawing/2014/chart" uri="{C3380CC4-5D6E-409C-BE32-E72D297353CC}">
                    <c16:uniqueId val="{00000002-2FB1-4F31-BB3E-EF5AF092ACB1}"/>
                  </c:ext>
                </c:extLst>
              </c15:ser>
            </c15:filteredBarSeries>
          </c:ext>
        </c:extLst>
      </c:barChart>
      <c:catAx>
        <c:axId val="386407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41105904"/>
        <c:crosses val="autoZero"/>
        <c:auto val="1"/>
        <c:lblAlgn val="ctr"/>
        <c:lblOffset val="100"/>
        <c:noMultiLvlLbl val="0"/>
      </c:catAx>
      <c:valAx>
        <c:axId val="141105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864078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>
      <a:noFill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Pt>
            <c:idx val="1"/>
            <c:invertIfNegative val="0"/>
            <c:bubble3D val="0"/>
            <c:spPr>
              <a:solidFill>
                <a:srgbClr val="00B05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6603-49F3-917A-182EB5701B7E}"/>
              </c:ext>
            </c:extLst>
          </c:dPt>
          <c:dPt>
            <c:idx val="2"/>
            <c:invertIfNegative val="0"/>
            <c:bubble3D val="0"/>
            <c:spPr>
              <a:solidFill>
                <a:srgbClr val="FFFF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6603-49F3-917A-182EB5701B7E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6603-49F3-917A-182EB5701B7E}"/>
              </c:ext>
            </c:extLst>
          </c:dPt>
          <c:dPt>
            <c:idx val="4"/>
            <c:invertIfNegative val="0"/>
            <c:bubble3D val="0"/>
            <c:spPr>
              <a:solidFill>
                <a:srgbClr val="FF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6603-49F3-917A-182EB5701B7E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6603-49F3-917A-182EB5701B7E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'2º ano '!$D$28:$I$28</c:f>
              <c:strCache>
                <c:ptCount val="6"/>
                <c:pt idx="0">
                  <c:v>Pré-Silábico</c:v>
                </c:pt>
                <c:pt idx="1">
                  <c:v>Silábico sem Valor</c:v>
                </c:pt>
                <c:pt idx="2">
                  <c:v>Silábico com Valor</c:v>
                </c:pt>
                <c:pt idx="3">
                  <c:v>Silábico Alfabético</c:v>
                </c:pt>
                <c:pt idx="4">
                  <c:v>Alfabético</c:v>
                </c:pt>
                <c:pt idx="5">
                  <c:v>Alfabetizado</c:v>
                </c:pt>
              </c:strCache>
            </c:strRef>
          </c:cat>
          <c:val>
            <c:numRef>
              <c:f>'2º ano '!$D$29:$I$29</c:f>
              <c:numCache>
                <c:formatCode>0%</c:formatCode>
                <c:ptCount val="6"/>
                <c:pt idx="0">
                  <c:v>4.1543026706231452E-2</c:v>
                </c:pt>
                <c:pt idx="1">
                  <c:v>2.3738872403560832E-2</c:v>
                </c:pt>
                <c:pt idx="2">
                  <c:v>6.5281899109792291E-2</c:v>
                </c:pt>
                <c:pt idx="3">
                  <c:v>0.11275964391691394</c:v>
                </c:pt>
                <c:pt idx="4">
                  <c:v>0.23887240356083086</c:v>
                </c:pt>
                <c:pt idx="5">
                  <c:v>0.51780415430267057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A-6603-49F3-917A-182EB5701B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88146624"/>
        <c:axId val="388118736"/>
      </c:barChart>
      <c:catAx>
        <c:axId val="3881466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388118736"/>
        <c:crosses val="autoZero"/>
        <c:auto val="1"/>
        <c:lblAlgn val="ctr"/>
        <c:lblOffset val="100"/>
        <c:noMultiLvlLbl val="0"/>
      </c:catAx>
      <c:valAx>
        <c:axId val="388118736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3881466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pt-BR" sz="1800" b="1" i="0" baseline="0">
                <a:solidFill>
                  <a:schemeClr val="tx1"/>
                </a:solidFill>
                <a:effectLst/>
              </a:rPr>
              <a:t>PORCENTAGEM POR ESCOLA </a:t>
            </a:r>
            <a:endParaRPr lang="pt-BR" sz="1600">
              <a:solidFill>
                <a:schemeClr val="tx1"/>
              </a:solidFill>
              <a:effectLst/>
            </a:endParaRPr>
          </a:p>
        </c:rich>
      </c:tx>
      <c:layout>
        <c:manualLayout>
          <c:xMode val="edge"/>
          <c:yMode val="edge"/>
          <c:x val="0.23682346885367869"/>
          <c:y val="3.292190520796910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FF00"/>
            </a:solidFill>
            <a:ln>
              <a:solidFill>
                <a:srgbClr val="FFFF00"/>
              </a:solidFill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'2º ano '!$A$37:$A$53</c:f>
              <c:numCache>
                <c:formatCode>0%</c:formatCode>
                <c:ptCount val="17"/>
                <c:pt idx="0">
                  <c:v>0.35483870967741937</c:v>
                </c:pt>
                <c:pt idx="1">
                  <c:v>0.44444444444444442</c:v>
                </c:pt>
                <c:pt idx="2">
                  <c:v>0.625</c:v>
                </c:pt>
                <c:pt idx="3">
                  <c:v>0.42499999999999999</c:v>
                </c:pt>
                <c:pt idx="4">
                  <c:v>0.41666666666666669</c:v>
                </c:pt>
                <c:pt idx="5">
                  <c:v>0.63157894736842102</c:v>
                </c:pt>
                <c:pt idx="6">
                  <c:v>0.53521126760563376</c:v>
                </c:pt>
                <c:pt idx="7">
                  <c:v>0.45</c:v>
                </c:pt>
                <c:pt idx="8">
                  <c:v>0.36842105263157893</c:v>
                </c:pt>
                <c:pt idx="9">
                  <c:v>0.5957446808510638</c:v>
                </c:pt>
                <c:pt idx="10">
                  <c:v>0.79166666666666663</c:v>
                </c:pt>
                <c:pt idx="11">
                  <c:v>0.44186046511627908</c:v>
                </c:pt>
                <c:pt idx="12">
                  <c:v>0.36231884057971014</c:v>
                </c:pt>
                <c:pt idx="13">
                  <c:v>0.55813953488372092</c:v>
                </c:pt>
                <c:pt idx="14">
                  <c:v>0.39130434782608697</c:v>
                </c:pt>
                <c:pt idx="15">
                  <c:v>0.59322033898305082</c:v>
                </c:pt>
                <c:pt idx="16">
                  <c:v>0.21739130434782608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CEC-4833-983D-484DBD76FB47}"/>
            </c:ext>
          </c:extLst>
        </c:ser>
        <c:ser>
          <c:idx val="1"/>
          <c:order val="1"/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val>
            <c:numRef>
              <c:f>'2º ano '!$B$37:$B$53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CEC-4833-983D-484DBD76FB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386667800"/>
        <c:axId val="386672504"/>
        <c:extLst xmlns:c16r2="http://schemas.microsoft.com/office/drawing/2015/06/chart">
          <c:ext xmlns:c15="http://schemas.microsoft.com/office/drawing/2012/chart" uri="{02D57815-91ED-43cb-92C2-25804820EDAC}">
            <c15:filteredBarSeries>
              <c15:ser>
                <c:idx val="2"/>
                <c:order val="2"/>
                <c:spPr>
                  <a:gradFill rotWithShape="1">
                    <a:gsLst>
                      <a:gs pos="0">
                        <a:schemeClr val="accent3">
                          <a:shade val="51000"/>
                          <a:satMod val="130000"/>
                        </a:schemeClr>
                      </a:gs>
                      <a:gs pos="80000">
                        <a:schemeClr val="accent3">
                          <a:shade val="93000"/>
                          <a:satMod val="130000"/>
                        </a:schemeClr>
                      </a:gs>
                      <a:gs pos="100000">
                        <a:schemeClr val="accent3">
                          <a:shade val="94000"/>
                          <a:satMod val="135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  <a:scene3d>
                    <a:camera prst="orthographicFront">
                      <a:rot lat="0" lon="0" rev="0"/>
                    </a:camera>
                    <a:lightRig rig="threePt" dir="t">
                      <a:rot lat="0" lon="0" rev="1200000"/>
                    </a:lightRig>
                  </a:scene3d>
                  <a:sp3d>
                    <a:bevelT w="63500" h="25400"/>
                  </a:sp3d>
                </c:spPr>
                <c:invertIfNegative val="0"/>
                <c:val>
                  <c:numRef>
                    <c:extLst xmlns:c16r2="http://schemas.microsoft.com/office/drawing/2015/06/chart">
                      <c:ext uri="{02D57815-91ED-43cb-92C2-25804820EDAC}">
                        <c15:formulaRef>
                          <c15:sqref>'2º ano '!$C$37:$C$53</c15:sqref>
                        </c15:formulaRef>
                      </c:ext>
                    </c:extLst>
                    <c:numCache>
                      <c:formatCode>General</c:formatCode>
                      <c:ptCount val="17"/>
                    </c:numCache>
                  </c:numRef>
                </c:val>
                <c:extLst xmlns:c16r2="http://schemas.microsoft.com/office/drawing/2015/06/chart">
                  <c:ext xmlns:c16="http://schemas.microsoft.com/office/drawing/2014/chart" uri="{C3380CC4-5D6E-409C-BE32-E72D297353CC}">
                    <c16:uniqueId val="{00000002-1CEC-4833-983D-484DBD76FB47}"/>
                  </c:ext>
                </c:extLst>
              </c15:ser>
            </c15:filteredBarSeries>
          </c:ext>
        </c:extLst>
      </c:barChart>
      <c:catAx>
        <c:axId val="386667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86672504"/>
        <c:crosses val="autoZero"/>
        <c:auto val="1"/>
        <c:lblAlgn val="ctr"/>
        <c:lblOffset val="100"/>
        <c:noMultiLvlLbl val="0"/>
      </c:catAx>
      <c:valAx>
        <c:axId val="386672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866678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>
      <a:noFill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 baseline="0">
                <a:solidFill>
                  <a:schemeClr val="tx2"/>
                </a:solidFill>
              </a:rPr>
              <a:t>3º ANO</a:t>
            </a:r>
          </a:p>
        </c:rich>
      </c:tx>
      <c:layout>
        <c:manualLayout>
          <c:xMode val="edge"/>
          <c:yMode val="edge"/>
          <c:x val="0.44455129714767461"/>
          <c:y val="4.2904290429042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3932660257958551"/>
          <c:y val="0.20522277780970807"/>
          <c:w val="0.64919078505639671"/>
          <c:h val="0.641804445977099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Pt>
            <c:idx val="1"/>
            <c:invertIfNegative val="0"/>
            <c:bubble3D val="0"/>
            <c:spPr>
              <a:solidFill>
                <a:srgbClr val="00B05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6604-4C39-90B9-AEE3046BD8CB}"/>
              </c:ext>
            </c:extLst>
          </c:dPt>
          <c:dPt>
            <c:idx val="2"/>
            <c:invertIfNegative val="0"/>
            <c:bubble3D val="0"/>
            <c:spPr>
              <a:solidFill>
                <a:srgbClr val="FFFF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6604-4C39-90B9-AEE3046BD8CB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6604-4C39-90B9-AEE3046BD8CB}"/>
              </c:ext>
            </c:extLst>
          </c:dPt>
          <c:dPt>
            <c:idx val="4"/>
            <c:invertIfNegative val="0"/>
            <c:bubble3D val="0"/>
            <c:spPr>
              <a:solidFill>
                <a:srgbClr val="FF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6604-4C39-90B9-AEE3046BD8CB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6604-4C39-90B9-AEE3046BD8CB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'3º ano '!$D$28:$I$28</c:f>
              <c:strCache>
                <c:ptCount val="6"/>
                <c:pt idx="0">
                  <c:v>Pré-Silábico</c:v>
                </c:pt>
                <c:pt idx="1">
                  <c:v>Silábico sem Valor</c:v>
                </c:pt>
                <c:pt idx="2">
                  <c:v>Silábico com Valor</c:v>
                </c:pt>
                <c:pt idx="3">
                  <c:v>Silábico Alfabético</c:v>
                </c:pt>
                <c:pt idx="4">
                  <c:v>Alfabético</c:v>
                </c:pt>
                <c:pt idx="5">
                  <c:v>Alfabetizado</c:v>
                </c:pt>
              </c:strCache>
            </c:strRef>
          </c:cat>
          <c:val>
            <c:numRef>
              <c:f>'3º ano '!$D$29:$I$29</c:f>
              <c:numCache>
                <c:formatCode>0%</c:formatCode>
                <c:ptCount val="6"/>
                <c:pt idx="0">
                  <c:v>1.5384615384615385E-2</c:v>
                </c:pt>
                <c:pt idx="1">
                  <c:v>1.6923076923076923E-2</c:v>
                </c:pt>
                <c:pt idx="2">
                  <c:v>4.1538461538461538E-2</c:v>
                </c:pt>
                <c:pt idx="3">
                  <c:v>6.7692307692307691E-2</c:v>
                </c:pt>
                <c:pt idx="4">
                  <c:v>0.18307692307692308</c:v>
                </c:pt>
                <c:pt idx="5">
                  <c:v>0.67538461538461536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5297-4D42-82C3-7628D3A6A5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6673288"/>
        <c:axId val="386670152"/>
      </c:barChart>
      <c:catAx>
        <c:axId val="3866732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86670152"/>
        <c:crosses val="autoZero"/>
        <c:auto val="1"/>
        <c:lblAlgn val="ctr"/>
        <c:lblOffset val="100"/>
        <c:noMultiLvlLbl val="0"/>
      </c:catAx>
      <c:valAx>
        <c:axId val="38667015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baseline="0">
                    <a:solidFill>
                      <a:schemeClr val="tx2"/>
                    </a:solidFill>
                  </a:defRPr>
                </a:pPr>
                <a:r>
                  <a:rPr lang="pt-BR" sz="1200" baseline="0">
                    <a:solidFill>
                      <a:schemeClr val="tx2"/>
                    </a:solidFill>
                    <a:latin typeface="Arial" pitchFamily="34" charset="0"/>
                    <a:cs typeface="Arial" pitchFamily="34" charset="0"/>
                  </a:rPr>
                  <a:t>Nº de Alunos</a:t>
                </a:r>
              </a:p>
            </c:rich>
          </c:tx>
          <c:layout>
            <c:manualLayout>
              <c:xMode val="edge"/>
              <c:yMode val="edge"/>
              <c:x val="3.2769044973672772E-2"/>
              <c:y val="0.39513526155765194"/>
            </c:manualLayout>
          </c:layout>
          <c:overlay val="0"/>
        </c:title>
        <c:numFmt formatCode="0%" sourceLinked="1"/>
        <c:majorTickMark val="out"/>
        <c:minorTickMark val="none"/>
        <c:tickLblPos val="nextTo"/>
        <c:crossAx val="386673288"/>
        <c:crosses val="autoZero"/>
        <c:crossBetween val="between"/>
      </c:valAx>
      <c:spPr>
        <a:ln>
          <a:solidFill>
            <a:sysClr val="windowText" lastClr="000000">
              <a:alpha val="99000"/>
            </a:sysClr>
          </a:solidFill>
        </a:ln>
        <a:effectLst>
          <a:innerShdw blurRad="114300">
            <a:schemeClr val="tx2">
              <a:lumMod val="20000"/>
              <a:lumOff val="80000"/>
            </a:schemeClr>
          </a:innerShdw>
        </a:effectLst>
      </c:spPr>
    </c:plotArea>
    <c:legend>
      <c:legendPos val="r"/>
      <c:overlay val="0"/>
    </c:legend>
    <c:plotVisOnly val="1"/>
    <c:dispBlanksAs val="gap"/>
    <c:showDLblsOverMax val="0"/>
  </c:chart>
  <c:spPr>
    <a:effectLst>
      <a:innerShdw blurRad="114300">
        <a:prstClr val="black"/>
      </a:innerShdw>
    </a:effectLst>
    <a:scene3d>
      <a:camera prst="orthographicFront"/>
      <a:lightRig rig="threePt" dir="t"/>
    </a:scene3d>
    <a:sp3d>
      <a:bevelB h="12700"/>
    </a:sp3d>
  </c:spPr>
  <c:txPr>
    <a:bodyPr/>
    <a:lstStyle/>
    <a:p>
      <a:pPr>
        <a:defRPr baseline="0"/>
      </a:pPr>
      <a:endParaRPr lang="pt-BR"/>
    </a:p>
  </c:txPr>
  <c:printSettings>
    <c:headerFooter>
      <c:oddHeader>&amp;L &amp;C </c:oddHeader>
    </c:headerFooter>
    <c:pageMargins b="0.78740157499999996" l="0.511811024" r="0.511811024" t="0.78740157499999996" header="0.31496062000000002" footer="0.31496062000000002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sz="1800" b="1" i="0" baseline="0">
                <a:solidFill>
                  <a:schemeClr val="tx1"/>
                </a:solidFill>
                <a:effectLst/>
              </a:rPr>
              <a:t>PORCENTAGEM POR ESCOLA </a:t>
            </a:r>
            <a:endParaRPr lang="pt-BR">
              <a:solidFill>
                <a:schemeClr val="tx1"/>
              </a:solidFill>
              <a:effectLst/>
            </a:endParaRPr>
          </a:p>
          <a:p>
            <a:pPr algn="ctr">
              <a:defRPr/>
            </a:pPr>
            <a:endParaRPr lang="pt-BR"/>
          </a:p>
        </c:rich>
      </c:tx>
      <c:layout>
        <c:manualLayout>
          <c:xMode val="edge"/>
          <c:yMode val="edge"/>
          <c:x val="0.29685522750690091"/>
          <c:y val="5.101435849930522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FF00"/>
            </a:solidFill>
            <a:ln w="57150" cap="flat" cmpd="sng" algn="ctr">
              <a:solidFill>
                <a:srgbClr val="FFFF00"/>
              </a:solidFill>
              <a:miter lim="800000"/>
            </a:ln>
            <a:effectLst>
              <a:glow rad="63500">
                <a:schemeClr val="accent1">
                  <a:satMod val="175000"/>
                  <a:alpha val="25000"/>
                </a:schemeClr>
              </a:glo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'3º ano '!$A$37:$A$53</c:f>
              <c:numCache>
                <c:formatCode>0%</c:formatCode>
                <c:ptCount val="17"/>
                <c:pt idx="0">
                  <c:v>0.17499999999999999</c:v>
                </c:pt>
                <c:pt idx="1">
                  <c:v>0.37037037037037035</c:v>
                </c:pt>
                <c:pt idx="2">
                  <c:v>0.4838709677419355</c:v>
                </c:pt>
                <c:pt idx="3">
                  <c:v>0.5</c:v>
                </c:pt>
                <c:pt idx="4">
                  <c:v>0.3</c:v>
                </c:pt>
                <c:pt idx="5">
                  <c:v>0.55000000000000004</c:v>
                </c:pt>
                <c:pt idx="6">
                  <c:v>0.25842696629213485</c:v>
                </c:pt>
                <c:pt idx="7">
                  <c:v>0.40816326530612246</c:v>
                </c:pt>
                <c:pt idx="8">
                  <c:v>0.23076923076923078</c:v>
                </c:pt>
                <c:pt idx="9">
                  <c:v>0.28947368421052633</c:v>
                </c:pt>
                <c:pt idx="10">
                  <c:v>0.2608695652173913</c:v>
                </c:pt>
                <c:pt idx="11">
                  <c:v>0.24324324324324326</c:v>
                </c:pt>
                <c:pt idx="12">
                  <c:v>0.28000000000000003</c:v>
                </c:pt>
                <c:pt idx="13">
                  <c:v>0.28205128205128205</c:v>
                </c:pt>
                <c:pt idx="14">
                  <c:v>0.23809523809523808</c:v>
                </c:pt>
                <c:pt idx="15">
                  <c:v>0.35294117647058826</c:v>
                </c:pt>
                <c:pt idx="16">
                  <c:v>0.45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61CA-44E6-975F-3898CE22E439}"/>
            </c:ext>
          </c:extLst>
        </c:ser>
        <c:ser>
          <c:idx val="1"/>
          <c:order val="1"/>
          <c:spPr>
            <a:noFill/>
            <a:ln w="9525" cap="flat" cmpd="sng" algn="ctr">
              <a:solidFill>
                <a:schemeClr val="accent2"/>
              </a:solidFill>
              <a:miter lim="800000"/>
            </a:ln>
            <a:effectLst>
              <a:glow rad="63500">
                <a:schemeClr val="accent2">
                  <a:satMod val="175000"/>
                  <a:alpha val="25000"/>
                </a:schemeClr>
              </a:glow>
            </a:effectLst>
          </c:spPr>
          <c:invertIfNegative val="0"/>
          <c:val>
            <c:numRef>
              <c:f>'3º ano '!$B$37:$B$53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61CA-44E6-975F-3898CE22E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15"/>
        <c:overlap val="-40"/>
        <c:axId val="386673680"/>
        <c:axId val="386669368"/>
        <c:extLst xmlns:c16r2="http://schemas.microsoft.com/office/drawing/2015/06/chart">
          <c:ext xmlns:c15="http://schemas.microsoft.com/office/drawing/2012/chart" uri="{02D57815-91ED-43cb-92C2-25804820EDAC}">
            <c15:filteredBarSeries>
              <c15:ser>
                <c:idx val="2"/>
                <c:order val="2"/>
                <c:spPr>
                  <a:noFill/>
                  <a:ln w="9525" cap="flat" cmpd="sng" algn="ctr">
                    <a:solidFill>
                      <a:schemeClr val="accent3"/>
                    </a:solidFill>
                    <a:miter lim="800000"/>
                  </a:ln>
                  <a:effectLst>
                    <a:glow rad="63500">
                      <a:schemeClr val="accent3">
                        <a:satMod val="175000"/>
                        <a:alpha val="25000"/>
                      </a:schemeClr>
                    </a:glow>
                  </a:effectLst>
                </c:spPr>
                <c:invertIfNegative val="0"/>
                <c:val>
                  <c:numRef>
                    <c:extLst xmlns:c16r2="http://schemas.microsoft.com/office/drawing/2015/06/chart">
                      <c:ext uri="{02D57815-91ED-43cb-92C2-25804820EDAC}">
                        <c15:formulaRef>
                          <c15:sqref>'3º ano '!$C$37:$C$53</c15:sqref>
                        </c15:formulaRef>
                      </c:ext>
                    </c:extLst>
                    <c:numCache>
                      <c:formatCode>General</c:formatCode>
                      <c:ptCount val="17"/>
                    </c:numCache>
                  </c:numRef>
                </c:val>
                <c:extLst xmlns:c16r2="http://schemas.microsoft.com/office/drawing/2015/06/chart">
                  <c:ext xmlns:c16="http://schemas.microsoft.com/office/drawing/2014/chart" uri="{C3380CC4-5D6E-409C-BE32-E72D297353CC}">
                    <c16:uniqueId val="{00000002-61CA-44E6-975F-3898CE22E439}"/>
                  </c:ext>
                </c:extLst>
              </c15:ser>
            </c15:filteredBarSeries>
          </c:ext>
        </c:extLst>
      </c:barChart>
      <c:catAx>
        <c:axId val="386673680"/>
        <c:scaling>
          <c:orientation val="minMax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86669368"/>
        <c:crosses val="autoZero"/>
        <c:auto val="1"/>
        <c:lblAlgn val="ctr"/>
        <c:lblOffset val="100"/>
        <c:noMultiLvlLbl val="0"/>
      </c:catAx>
      <c:valAx>
        <c:axId val="386669368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866736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 orientation="portrait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Pt>
            <c:idx val="1"/>
            <c:invertIfNegative val="0"/>
            <c:bubble3D val="0"/>
            <c:spPr>
              <a:solidFill>
                <a:srgbClr val="00B05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B6E3-4E7C-A55A-FE222FBCC9D9}"/>
              </c:ext>
            </c:extLst>
          </c:dPt>
          <c:dPt>
            <c:idx val="2"/>
            <c:invertIfNegative val="0"/>
            <c:bubble3D val="0"/>
            <c:spPr>
              <a:solidFill>
                <a:srgbClr val="FFFF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B6E3-4E7C-A55A-FE222FBCC9D9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B6E3-4E7C-A55A-FE222FBCC9D9}"/>
              </c:ext>
            </c:extLst>
          </c:dPt>
          <c:dPt>
            <c:idx val="4"/>
            <c:invertIfNegative val="0"/>
            <c:bubble3D val="0"/>
            <c:spPr>
              <a:solidFill>
                <a:srgbClr val="FF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B6E3-4E7C-A55A-FE222FBCC9D9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B6E3-4E7C-A55A-FE222FBCC9D9}"/>
              </c:ext>
            </c:extLst>
          </c:dPt>
          <c:dLbls>
            <c:dLbl>
              <c:idx val="0"/>
              <c:layout>
                <c:manualLayout>
                  <c:x val="0"/>
                  <c:y val="-4.108886129500443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A-B6E3-4E7C-A55A-FE222FBCC9D9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'4º ano '!$D$28:$I$28</c:f>
              <c:strCache>
                <c:ptCount val="6"/>
                <c:pt idx="0">
                  <c:v>Pré-Silábico</c:v>
                </c:pt>
                <c:pt idx="1">
                  <c:v>Silábico sem Valor</c:v>
                </c:pt>
                <c:pt idx="2">
                  <c:v>Silábico com Valor</c:v>
                </c:pt>
                <c:pt idx="3">
                  <c:v>Silábico Alfabético</c:v>
                </c:pt>
                <c:pt idx="4">
                  <c:v>Alfabético</c:v>
                </c:pt>
                <c:pt idx="5">
                  <c:v>Alfabetizado</c:v>
                </c:pt>
              </c:strCache>
            </c:strRef>
          </c:cat>
          <c:val>
            <c:numRef>
              <c:f>'4º ano '!$D$29:$I$29</c:f>
              <c:numCache>
                <c:formatCode>0%</c:formatCode>
                <c:ptCount val="6"/>
                <c:pt idx="0">
                  <c:v>1.2084592145015106E-2</c:v>
                </c:pt>
                <c:pt idx="1">
                  <c:v>6.0422960725075529E-3</c:v>
                </c:pt>
                <c:pt idx="2">
                  <c:v>1.0574018126888218E-2</c:v>
                </c:pt>
                <c:pt idx="3">
                  <c:v>4.0785498489425982E-2</c:v>
                </c:pt>
                <c:pt idx="4">
                  <c:v>0.11329305135951662</c:v>
                </c:pt>
                <c:pt idx="5">
                  <c:v>0.81722054380664655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B-B6E3-4E7C-A55A-FE222FBCC9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86671720"/>
        <c:axId val="386669760"/>
      </c:barChart>
      <c:catAx>
        <c:axId val="386671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386669760"/>
        <c:crosses val="autoZero"/>
        <c:auto val="1"/>
        <c:lblAlgn val="ctr"/>
        <c:lblOffset val="100"/>
        <c:noMultiLvlLbl val="0"/>
      </c:catAx>
      <c:valAx>
        <c:axId val="386669760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3866717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pt-BR">
                <a:solidFill>
                  <a:schemeClr val="tx1"/>
                </a:solidFill>
              </a:rPr>
              <a:t>PORCENTAGEM</a:t>
            </a:r>
            <a:r>
              <a:rPr lang="pt-BR" baseline="0">
                <a:solidFill>
                  <a:schemeClr val="tx1"/>
                </a:solidFill>
              </a:rPr>
              <a:t> POR ESCOLA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FF00"/>
            </a:solidFill>
            <a:ln>
              <a:solidFill>
                <a:srgbClr val="FFFF00"/>
              </a:solidFill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'4º ano '!$A$37:$A$53</c:f>
              <c:numCache>
                <c:formatCode>0%</c:formatCode>
                <c:ptCount val="17"/>
                <c:pt idx="0">
                  <c:v>0.14285714285714285</c:v>
                </c:pt>
                <c:pt idx="1">
                  <c:v>0.21052631578947367</c:v>
                </c:pt>
                <c:pt idx="2">
                  <c:v>2.9411764705882353E-2</c:v>
                </c:pt>
                <c:pt idx="3">
                  <c:v>6.4516129032258063E-2</c:v>
                </c:pt>
                <c:pt idx="4">
                  <c:v>0.21212121212121213</c:v>
                </c:pt>
                <c:pt idx="5">
                  <c:v>0.3125</c:v>
                </c:pt>
                <c:pt idx="6">
                  <c:v>0.26315789473684209</c:v>
                </c:pt>
                <c:pt idx="7">
                  <c:v>0.13513513513513514</c:v>
                </c:pt>
                <c:pt idx="8">
                  <c:v>0.33333333333333331</c:v>
                </c:pt>
                <c:pt idx="9">
                  <c:v>8.3333333333333329E-2</c:v>
                </c:pt>
                <c:pt idx="10">
                  <c:v>0</c:v>
                </c:pt>
                <c:pt idx="11">
                  <c:v>6.25E-2</c:v>
                </c:pt>
                <c:pt idx="12">
                  <c:v>0.22641509433962265</c:v>
                </c:pt>
                <c:pt idx="13">
                  <c:v>0.27659574468085107</c:v>
                </c:pt>
                <c:pt idx="14">
                  <c:v>0.34615384615384615</c:v>
                </c:pt>
                <c:pt idx="15">
                  <c:v>0.17460317460317459</c:v>
                </c:pt>
                <c:pt idx="16">
                  <c:v>4.5454545454545456E-2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614-454B-9D5A-3327FFD53FD3}"/>
            </c:ext>
          </c:extLst>
        </c:ser>
        <c:ser>
          <c:idx val="1"/>
          <c:order val="1"/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val>
            <c:numRef>
              <c:f>'4º ano '!$B$37:$B$53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B614-454B-9D5A-3327FFD53F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391310232"/>
        <c:axId val="391309448"/>
        <c:extLst xmlns:c16r2="http://schemas.microsoft.com/office/drawing/2015/06/chart">
          <c:ext xmlns:c15="http://schemas.microsoft.com/office/drawing/2012/chart" uri="{02D57815-91ED-43cb-92C2-25804820EDAC}">
            <c15:filteredBarSeries>
              <c15:ser>
                <c:idx val="2"/>
                <c:order val="2"/>
                <c:spPr>
                  <a:gradFill rotWithShape="1">
                    <a:gsLst>
                      <a:gs pos="0">
                        <a:schemeClr val="accent3">
                          <a:shade val="51000"/>
                          <a:satMod val="130000"/>
                        </a:schemeClr>
                      </a:gs>
                      <a:gs pos="80000">
                        <a:schemeClr val="accent3">
                          <a:shade val="93000"/>
                          <a:satMod val="130000"/>
                        </a:schemeClr>
                      </a:gs>
                      <a:gs pos="100000">
                        <a:schemeClr val="accent3">
                          <a:shade val="94000"/>
                          <a:satMod val="135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  <a:scene3d>
                    <a:camera prst="orthographicFront">
                      <a:rot lat="0" lon="0" rev="0"/>
                    </a:camera>
                    <a:lightRig rig="threePt" dir="t">
                      <a:rot lat="0" lon="0" rev="1200000"/>
                    </a:lightRig>
                  </a:scene3d>
                  <a:sp3d>
                    <a:bevelT w="63500" h="25400"/>
                  </a:sp3d>
                </c:spPr>
                <c:invertIfNegative val="0"/>
                <c:val>
                  <c:numRef>
                    <c:extLst xmlns:c16r2="http://schemas.microsoft.com/office/drawing/2015/06/chart">
                      <c:ext uri="{02D57815-91ED-43cb-92C2-25804820EDAC}">
                        <c15:formulaRef>
                          <c15:sqref>'4º ano '!$C$37:$C$53</c15:sqref>
                        </c15:formulaRef>
                      </c:ext>
                    </c:extLst>
                    <c:numCache>
                      <c:formatCode>General</c:formatCode>
                      <c:ptCount val="17"/>
                    </c:numCache>
                  </c:numRef>
                </c:val>
                <c:extLst xmlns:c16r2="http://schemas.microsoft.com/office/drawing/2015/06/chart">
                  <c:ext xmlns:c16="http://schemas.microsoft.com/office/drawing/2014/chart" uri="{C3380CC4-5D6E-409C-BE32-E72D297353CC}">
                    <c16:uniqueId val="{00000002-B614-454B-9D5A-3327FFD53FD3}"/>
                  </c:ext>
                </c:extLst>
              </c15:ser>
            </c15:filteredBarSeries>
          </c:ext>
        </c:extLst>
      </c:barChart>
      <c:catAx>
        <c:axId val="391310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91309448"/>
        <c:crosses val="autoZero"/>
        <c:auto val="1"/>
        <c:lblAlgn val="ctr"/>
        <c:lblOffset val="100"/>
        <c:noMultiLvlLbl val="0"/>
      </c:catAx>
      <c:valAx>
        <c:axId val="391309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913102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>
      <a:noFill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224659192038011"/>
          <c:y val="0.11247154890904844"/>
          <c:w val="0.58464966837349952"/>
          <c:h val="0.8431998885073458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'5º ano'!$D$28</c:f>
              <c:strCache>
                <c:ptCount val="1"/>
                <c:pt idx="0">
                  <c:v>Pré-Silábico</c:v>
                </c:pt>
              </c:strCache>
            </c:strRef>
          </c:tx>
          <c:invertIfNegative val="0"/>
          <c:dPt>
            <c:idx val="1"/>
            <c:invertIfNegative val="0"/>
            <c:bubble3D val="0"/>
            <c:spPr>
              <a:solidFill>
                <a:srgbClr val="00B05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2591-4B16-AECB-7129A36608CB}"/>
              </c:ext>
            </c:extLst>
          </c:dPt>
          <c:dPt>
            <c:idx val="2"/>
            <c:invertIfNegative val="0"/>
            <c:bubble3D val="0"/>
            <c:spPr>
              <a:solidFill>
                <a:srgbClr val="FFFF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2591-4B16-AECB-7129A36608CB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2591-4B16-AECB-7129A36608CB}"/>
              </c:ext>
            </c:extLst>
          </c:dPt>
          <c:dPt>
            <c:idx val="4"/>
            <c:invertIfNegative val="0"/>
            <c:bubble3D val="0"/>
            <c:spPr>
              <a:solidFill>
                <a:srgbClr val="FF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2591-4B16-AECB-7129A36608CB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2591-4B16-AECB-7129A36608CB}"/>
              </c:ext>
            </c:extLst>
          </c:dPt>
          <c:dLbls>
            <c:dLbl>
              <c:idx val="1"/>
              <c:layout>
                <c:manualLayout>
                  <c:x val="2.4442405225055339E-3"/>
                  <c:y val="-0.13628622539738525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2591-4B16-AECB-7129A36608CB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2.1998164702549401E-2"/>
                  <c:y val="-0.1453719737572109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2591-4B16-AECB-7129A36608CB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'5º ano'!$D$29</c:f>
              <c:numCache>
                <c:formatCode>0%</c:formatCode>
                <c:ptCount val="1"/>
                <c:pt idx="0">
                  <c:v>3.134796238244514E-3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A-2591-4B16-AECB-7129A36608CB}"/>
            </c:ext>
          </c:extLst>
        </c:ser>
        <c:ser>
          <c:idx val="1"/>
          <c:order val="1"/>
          <c:tx>
            <c:strRef>
              <c:f>'5º ano'!$E$28</c:f>
              <c:strCache>
                <c:ptCount val="1"/>
                <c:pt idx="0">
                  <c:v>Silábico sem Valor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'5º ano'!$E$29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B-2591-4B16-AECB-7129A36608CB}"/>
            </c:ext>
          </c:extLst>
        </c:ser>
        <c:ser>
          <c:idx val="2"/>
          <c:order val="2"/>
          <c:tx>
            <c:strRef>
              <c:f>'5º ano'!$F$28</c:f>
              <c:strCache>
                <c:ptCount val="1"/>
                <c:pt idx="0">
                  <c:v>Silábico com Valor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'5º ano'!$F$29</c:f>
              <c:numCache>
                <c:formatCode>0%</c:formatCode>
                <c:ptCount val="1"/>
                <c:pt idx="0">
                  <c:v>9.4043887147335428E-3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C-2591-4B16-AECB-7129A36608CB}"/>
            </c:ext>
          </c:extLst>
        </c:ser>
        <c:ser>
          <c:idx val="3"/>
          <c:order val="3"/>
          <c:tx>
            <c:strRef>
              <c:f>'5º ano'!$G$28</c:f>
              <c:strCache>
                <c:ptCount val="1"/>
                <c:pt idx="0">
                  <c:v>Silábico Alfabético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'5º ano'!$G$29</c:f>
              <c:numCache>
                <c:formatCode>0%</c:formatCode>
                <c:ptCount val="1"/>
                <c:pt idx="0">
                  <c:v>1.4106583072100314E-2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D-2591-4B16-AECB-7129A36608CB}"/>
            </c:ext>
          </c:extLst>
        </c:ser>
        <c:ser>
          <c:idx val="4"/>
          <c:order val="4"/>
          <c:tx>
            <c:strRef>
              <c:f>'5º ano'!$H$28</c:f>
              <c:strCache>
                <c:ptCount val="1"/>
                <c:pt idx="0">
                  <c:v>Alfabético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'5º ano'!$H$29</c:f>
              <c:numCache>
                <c:formatCode>0%</c:formatCode>
                <c:ptCount val="1"/>
                <c:pt idx="0">
                  <c:v>6.1128526645768025E-2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E-2591-4B16-AECB-7129A36608CB}"/>
            </c:ext>
          </c:extLst>
        </c:ser>
        <c:ser>
          <c:idx val="5"/>
          <c:order val="5"/>
          <c:tx>
            <c:strRef>
              <c:f>'5º ano'!$I$28</c:f>
              <c:strCache>
                <c:ptCount val="1"/>
                <c:pt idx="0">
                  <c:v>Alfabetizado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'5º ano'!$I$29</c:f>
              <c:numCache>
                <c:formatCode>0%</c:formatCode>
                <c:ptCount val="1"/>
                <c:pt idx="0">
                  <c:v>0.91222570532915359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F-2591-4B16-AECB-7129A36608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91309840"/>
        <c:axId val="391310624"/>
      </c:barChart>
      <c:catAx>
        <c:axId val="3913098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391310624"/>
        <c:crosses val="autoZero"/>
        <c:auto val="1"/>
        <c:lblAlgn val="ctr"/>
        <c:lblOffset val="100"/>
        <c:noMultiLvlLbl val="0"/>
      </c:catAx>
      <c:valAx>
        <c:axId val="391310624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3913098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>
                <a:solidFill>
                  <a:schemeClr val="tx1"/>
                </a:solidFill>
              </a:rPr>
              <a:t>PORCENTAGEM POR ESCOLA</a:t>
            </a:r>
            <a:r>
              <a:rPr lang="pt-BR" baseline="0">
                <a:solidFill>
                  <a:schemeClr val="tx1"/>
                </a:solidFill>
              </a:rPr>
              <a:t> </a:t>
            </a:r>
            <a:endParaRPr lang="pt-BR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FF00"/>
            </a:solidFill>
            <a:ln w="22225" cap="flat" cmpd="sng" algn="ctr">
              <a:solidFill>
                <a:srgbClr val="FFFF00"/>
              </a:solidFill>
              <a:miter lim="800000"/>
            </a:ln>
            <a:effectLst>
              <a:glow rad="63500">
                <a:srgbClr val="FFFF00"/>
              </a:glow>
              <a:outerShdw blurRad="50800" dist="50800" dir="3000000" algn="ctr" rotWithShape="0">
                <a:srgbClr val="000000">
                  <a:alpha val="43137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>
                <a:glow rad="127000">
                  <a:schemeClr val="tx1"/>
                </a:glo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'5º ano'!$A$37:$A$53</c:f>
              <c:numCache>
                <c:formatCode>0%</c:formatCode>
                <c:ptCount val="17"/>
                <c:pt idx="0">
                  <c:v>0.18181818181818182</c:v>
                </c:pt>
                <c:pt idx="1">
                  <c:v>4.2553191489361701E-2</c:v>
                </c:pt>
                <c:pt idx="2">
                  <c:v>0.15151515151515152</c:v>
                </c:pt>
                <c:pt idx="3">
                  <c:v>0.12</c:v>
                </c:pt>
                <c:pt idx="4">
                  <c:v>0.14705882352941177</c:v>
                </c:pt>
                <c:pt idx="5">
                  <c:v>0.14285714285714285</c:v>
                </c:pt>
                <c:pt idx="6">
                  <c:v>0.10975609756097561</c:v>
                </c:pt>
                <c:pt idx="7">
                  <c:v>0</c:v>
                </c:pt>
                <c:pt idx="8">
                  <c:v>0</c:v>
                </c:pt>
                <c:pt idx="9">
                  <c:v>4.7619047619047616E-2</c:v>
                </c:pt>
                <c:pt idx="10">
                  <c:v>4.7619047619047616E-2</c:v>
                </c:pt>
                <c:pt idx="11">
                  <c:v>5.5555555555555552E-2</c:v>
                </c:pt>
                <c:pt idx="12">
                  <c:v>8.9285714285714288E-2</c:v>
                </c:pt>
                <c:pt idx="13">
                  <c:v>0.11764705882352941</c:v>
                </c:pt>
                <c:pt idx="14">
                  <c:v>9.0909090909090912E-2</c:v>
                </c:pt>
                <c:pt idx="15">
                  <c:v>4.7619047619047616E-2</c:v>
                </c:pt>
                <c:pt idx="16">
                  <c:v>0.125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6EC-4370-B0C9-A51AC7CDE611}"/>
            </c:ext>
          </c:extLst>
        </c:ser>
        <c:ser>
          <c:idx val="1"/>
          <c:order val="1"/>
          <c:spPr>
            <a:noFill/>
            <a:ln w="9525" cap="flat" cmpd="sng" algn="ctr">
              <a:solidFill>
                <a:schemeClr val="accent2"/>
              </a:solidFill>
              <a:miter lim="800000"/>
            </a:ln>
            <a:effectLst>
              <a:glow rad="63500">
                <a:schemeClr val="accent2">
                  <a:satMod val="175000"/>
                  <a:alpha val="25000"/>
                </a:schemeClr>
              </a:glow>
            </a:effectLst>
          </c:spPr>
          <c:invertIfNegative val="0"/>
          <c:val>
            <c:numRef>
              <c:f>'5º ano'!$B$37:$B$53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76EC-4370-B0C9-A51AC7CDE6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15"/>
        <c:axId val="391314544"/>
        <c:axId val="391311016"/>
        <c:extLst xmlns:c16r2="http://schemas.microsoft.com/office/drawing/2015/06/chart">
          <c:ext xmlns:c15="http://schemas.microsoft.com/office/drawing/2012/chart" uri="{02D57815-91ED-43cb-92C2-25804820EDAC}">
            <c15:filteredBarSeries>
              <c15:ser>
                <c:idx val="2"/>
                <c:order val="2"/>
                <c:spPr>
                  <a:noFill/>
                  <a:ln w="9525" cap="flat" cmpd="sng" algn="ctr">
                    <a:solidFill>
                      <a:schemeClr val="accent3"/>
                    </a:solidFill>
                    <a:miter lim="800000"/>
                  </a:ln>
                  <a:effectLst>
                    <a:glow rad="63500">
                      <a:schemeClr val="accent3">
                        <a:satMod val="175000"/>
                        <a:alpha val="25000"/>
                      </a:schemeClr>
                    </a:glow>
                  </a:effectLst>
                </c:spPr>
                <c:invertIfNegative val="0"/>
                <c:val>
                  <c:numRef>
                    <c:extLst xmlns:c16r2="http://schemas.microsoft.com/office/drawing/2015/06/chart">
                      <c:ext uri="{02D57815-91ED-43cb-92C2-25804820EDAC}">
                        <c15:formulaRef>
                          <c15:sqref>'5º ano'!$C$37:$C$53</c15:sqref>
                        </c15:formulaRef>
                      </c:ext>
                    </c:extLst>
                    <c:numCache>
                      <c:formatCode>General</c:formatCode>
                      <c:ptCount val="17"/>
                    </c:numCache>
                  </c:numRef>
                </c:val>
                <c:extLst xmlns:c16r2="http://schemas.microsoft.com/office/drawing/2015/06/chart">
                  <c:ext xmlns:c16="http://schemas.microsoft.com/office/drawing/2014/chart" uri="{C3380CC4-5D6E-409C-BE32-E72D297353CC}">
                    <c16:uniqueId val="{00000002-76EC-4370-B0C9-A51AC7CDE611}"/>
                  </c:ext>
                </c:extLst>
              </c15:ser>
            </c15:filteredBarSeries>
          </c:ext>
        </c:extLst>
      </c:barChart>
      <c:catAx>
        <c:axId val="391314544"/>
        <c:scaling>
          <c:orientation val="minMax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91311016"/>
        <c:crosses val="autoZero"/>
        <c:auto val="1"/>
        <c:lblAlgn val="ctr"/>
        <c:lblOffset val="100"/>
        <c:noMultiLvlLbl val="0"/>
      </c:catAx>
      <c:valAx>
        <c:axId val="391311016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913145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50000"/>
          <a:lumOff val="50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13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13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571501</xdr:colOff>
      <xdr:row>4</xdr:row>
      <xdr:rowOff>161925</xdr:rowOff>
    </xdr:from>
    <xdr:to>
      <xdr:col>9</xdr:col>
      <xdr:colOff>152400</xdr:colOff>
      <xdr:row>24</xdr:row>
      <xdr:rowOff>4762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204107</xdr:colOff>
      <xdr:row>54</xdr:row>
      <xdr:rowOff>174949</xdr:rowOff>
    </xdr:from>
    <xdr:to>
      <xdr:col>8</xdr:col>
      <xdr:colOff>330459</xdr:colOff>
      <xdr:row>71</xdr:row>
      <xdr:rowOff>165230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CD9CC454-56DE-BAC1-60B1-05649022244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595311</xdr:colOff>
      <xdr:row>4</xdr:row>
      <xdr:rowOff>157161</xdr:rowOff>
    </xdr:from>
    <xdr:to>
      <xdr:col>8</xdr:col>
      <xdr:colOff>1076324</xdr:colOff>
      <xdr:row>24</xdr:row>
      <xdr:rowOff>28574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355170</xdr:colOff>
      <xdr:row>54</xdr:row>
      <xdr:rowOff>169512</xdr:rowOff>
    </xdr:from>
    <xdr:to>
      <xdr:col>7</xdr:col>
      <xdr:colOff>831418</xdr:colOff>
      <xdr:row>70</xdr:row>
      <xdr:rowOff>161440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457200</xdr:colOff>
      <xdr:row>4</xdr:row>
      <xdr:rowOff>57150</xdr:rowOff>
    </xdr:from>
    <xdr:to>
      <xdr:col>9</xdr:col>
      <xdr:colOff>152400</xdr:colOff>
      <xdr:row>24</xdr:row>
      <xdr:rowOff>161925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57150</xdr:colOff>
      <xdr:row>54</xdr:row>
      <xdr:rowOff>114300</xdr:rowOff>
    </xdr:from>
    <xdr:to>
      <xdr:col>8</xdr:col>
      <xdr:colOff>114300</xdr:colOff>
      <xdr:row>70</xdr:row>
      <xdr:rowOff>133350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</xdr:colOff>
      <xdr:row>7</xdr:row>
      <xdr:rowOff>180976</xdr:rowOff>
    </xdr:from>
    <xdr:to>
      <xdr:col>9</xdr:col>
      <xdr:colOff>19050</xdr:colOff>
      <xdr:row>23</xdr:row>
      <xdr:rowOff>142876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247650</xdr:colOff>
      <xdr:row>54</xdr:row>
      <xdr:rowOff>190499</xdr:rowOff>
    </xdr:from>
    <xdr:to>
      <xdr:col>8</xdr:col>
      <xdr:colOff>419099</xdr:colOff>
      <xdr:row>71</xdr:row>
      <xdr:rowOff>104774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xmlns="" id="{00000000-0008-0000-03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42862</xdr:colOff>
      <xdr:row>5</xdr:row>
      <xdr:rowOff>180975</xdr:rowOff>
    </xdr:from>
    <xdr:to>
      <xdr:col>8</xdr:col>
      <xdr:colOff>952500</xdr:colOff>
      <xdr:row>22</xdr:row>
      <xdr:rowOff>185738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28575</xdr:colOff>
      <xdr:row>55</xdr:row>
      <xdr:rowOff>19050</xdr:rowOff>
    </xdr:from>
    <xdr:to>
      <xdr:col>8</xdr:col>
      <xdr:colOff>685800</xdr:colOff>
      <xdr:row>74</xdr:row>
      <xdr:rowOff>133350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9"/>
  <sheetViews>
    <sheetView tabSelected="1" view="pageLayout" topLeftCell="A8" workbookViewId="0">
      <selection activeCell="C27" sqref="C27:I27"/>
    </sheetView>
  </sheetViews>
  <sheetFormatPr defaultRowHeight="15" x14ac:dyDescent="0.25"/>
  <cols>
    <col min="1" max="1" width="11.140625" bestFit="1" customWidth="1"/>
    <col min="2" max="2" width="5.85546875" customWidth="1"/>
    <col min="3" max="3" width="12" customWidth="1"/>
    <col min="4" max="9" width="15.7109375" customWidth="1"/>
  </cols>
  <sheetData>
    <row r="1" spans="2:10" x14ac:dyDescent="0.25">
      <c r="B1" s="23" t="s">
        <v>43</v>
      </c>
      <c r="C1" s="23"/>
      <c r="D1" s="23"/>
      <c r="E1" s="23"/>
      <c r="F1" s="23"/>
      <c r="G1" s="23"/>
      <c r="H1" s="23"/>
      <c r="I1" s="23"/>
      <c r="J1" s="23"/>
    </row>
    <row r="2" spans="2:10" x14ac:dyDescent="0.25">
      <c r="B2" s="23"/>
      <c r="C2" s="23"/>
      <c r="D2" s="23"/>
      <c r="E2" s="23"/>
      <c r="F2" s="23"/>
      <c r="G2" s="23"/>
      <c r="H2" s="23"/>
      <c r="I2" s="23"/>
      <c r="J2" s="23"/>
    </row>
    <row r="3" spans="2:10" x14ac:dyDescent="0.25">
      <c r="B3" s="23"/>
      <c r="C3" s="23"/>
      <c r="D3" s="23"/>
      <c r="E3" s="23"/>
      <c r="F3" s="23"/>
      <c r="G3" s="23"/>
      <c r="H3" s="23"/>
      <c r="I3" s="23"/>
      <c r="J3" s="23"/>
    </row>
    <row r="4" spans="2:10" ht="30" customHeight="1" x14ac:dyDescent="0.4">
      <c r="C4" s="24" t="s">
        <v>27</v>
      </c>
      <c r="D4" s="24"/>
      <c r="E4" s="24"/>
      <c r="F4" s="24"/>
      <c r="G4" s="24"/>
      <c r="H4" s="24"/>
      <c r="I4" s="24"/>
    </row>
    <row r="27" spans="3:10" ht="18" x14ac:dyDescent="0.25">
      <c r="C27" s="25" t="s">
        <v>51</v>
      </c>
      <c r="D27" s="26"/>
      <c r="E27" s="26"/>
      <c r="F27" s="26"/>
      <c r="G27" s="26"/>
      <c r="H27" s="26"/>
      <c r="I27" s="27"/>
    </row>
    <row r="28" spans="3:10" ht="15.75" x14ac:dyDescent="0.25">
      <c r="C28" s="1" t="s">
        <v>7</v>
      </c>
      <c r="D28" s="2" t="s">
        <v>6</v>
      </c>
      <c r="E28" s="2" t="s">
        <v>0</v>
      </c>
      <c r="F28" s="2" t="s">
        <v>1</v>
      </c>
      <c r="G28" s="2" t="s">
        <v>2</v>
      </c>
      <c r="H28" s="2" t="s">
        <v>3</v>
      </c>
      <c r="I28" s="2" t="s">
        <v>4</v>
      </c>
    </row>
    <row r="29" spans="3:10" ht="15.75" x14ac:dyDescent="0.25">
      <c r="C29" s="3" t="s">
        <v>41</v>
      </c>
      <c r="D29" s="6">
        <f>42/595</f>
        <v>7.0588235294117646E-2</v>
      </c>
      <c r="E29" s="6">
        <f>26/595</f>
        <v>4.3697478991596636E-2</v>
      </c>
      <c r="F29" s="6">
        <f>73/595</f>
        <v>0.1226890756302521</v>
      </c>
      <c r="G29" s="6">
        <f>100/595</f>
        <v>0.16806722689075632</v>
      </c>
      <c r="H29" s="6">
        <f>210/595</f>
        <v>0.35294117647058826</v>
      </c>
      <c r="I29" s="6">
        <f>144/595</f>
        <v>0.24201680672268908</v>
      </c>
      <c r="J29" s="5"/>
    </row>
    <row r="30" spans="3:10" ht="15.75" x14ac:dyDescent="0.25">
      <c r="C30" s="3" t="s">
        <v>42</v>
      </c>
      <c r="D30" s="3">
        <v>42</v>
      </c>
      <c r="E30" s="3">
        <v>26</v>
      </c>
      <c r="F30" s="3">
        <v>73</v>
      </c>
      <c r="G30" s="3">
        <v>100</v>
      </c>
      <c r="H30" s="3">
        <v>210</v>
      </c>
      <c r="I30" s="3">
        <v>144</v>
      </c>
      <c r="J30">
        <f>SUM(D30:I30)</f>
        <v>595</v>
      </c>
    </row>
    <row r="32" spans="3:10" x14ac:dyDescent="0.25">
      <c r="C32" t="s">
        <v>44</v>
      </c>
      <c r="D32" s="14"/>
      <c r="E32" s="15"/>
      <c r="F32" s="16"/>
      <c r="G32" s="16"/>
      <c r="H32" s="16"/>
    </row>
    <row r="34" spans="1:10" ht="26.25" x14ac:dyDescent="0.4">
      <c r="A34" s="28" t="s">
        <v>28</v>
      </c>
      <c r="B34" s="28"/>
      <c r="C34" s="28"/>
      <c r="D34" s="28"/>
      <c r="E34" s="28"/>
      <c r="F34" s="28"/>
      <c r="G34" s="28"/>
      <c r="H34" s="28"/>
      <c r="I34" s="28"/>
    </row>
    <row r="36" spans="1:10" x14ac:dyDescent="0.25">
      <c r="B36" s="29" t="s">
        <v>8</v>
      </c>
      <c r="C36" s="30"/>
      <c r="D36" s="2" t="s">
        <v>6</v>
      </c>
      <c r="E36" s="2" t="s">
        <v>0</v>
      </c>
      <c r="F36" s="2" t="s">
        <v>1</v>
      </c>
      <c r="G36" s="2" t="s">
        <v>2</v>
      </c>
      <c r="H36" s="2" t="s">
        <v>3</v>
      </c>
      <c r="I36" s="2" t="s">
        <v>4</v>
      </c>
    </row>
    <row r="37" spans="1:10" x14ac:dyDescent="0.25">
      <c r="A37" s="12">
        <f>13/31</f>
        <v>0.41935483870967744</v>
      </c>
      <c r="B37" s="19" t="s">
        <v>10</v>
      </c>
      <c r="C37" s="20"/>
      <c r="D37" s="13">
        <v>2</v>
      </c>
      <c r="E37" s="13">
        <v>2</v>
      </c>
      <c r="F37" s="13">
        <v>5</v>
      </c>
      <c r="G37" s="13">
        <v>4</v>
      </c>
      <c r="H37" s="13">
        <v>14</v>
      </c>
      <c r="I37" s="13">
        <v>4</v>
      </c>
      <c r="J37" s="12"/>
    </row>
    <row r="38" spans="1:10" x14ac:dyDescent="0.25">
      <c r="A38" s="12">
        <f>16/51</f>
        <v>0.31372549019607843</v>
      </c>
      <c r="B38" s="19" t="s">
        <v>11</v>
      </c>
      <c r="C38" s="20"/>
      <c r="D38" s="13">
        <v>1</v>
      </c>
      <c r="E38" s="13">
        <v>1</v>
      </c>
      <c r="F38" s="13">
        <v>8</v>
      </c>
      <c r="G38" s="13">
        <v>6</v>
      </c>
      <c r="H38" s="13">
        <v>17</v>
      </c>
      <c r="I38" s="13">
        <v>18</v>
      </c>
    </row>
    <row r="39" spans="1:10" x14ac:dyDescent="0.25">
      <c r="A39" s="12">
        <f>21/24</f>
        <v>0.875</v>
      </c>
      <c r="B39" s="19" t="s">
        <v>12</v>
      </c>
      <c r="C39" s="20"/>
      <c r="D39" s="13">
        <v>4</v>
      </c>
      <c r="E39" s="13">
        <v>6</v>
      </c>
      <c r="F39" s="13">
        <v>2</v>
      </c>
      <c r="G39" s="13">
        <v>9</v>
      </c>
      <c r="H39" s="13">
        <v>1</v>
      </c>
      <c r="I39" s="13">
        <v>2</v>
      </c>
    </row>
    <row r="40" spans="1:10" x14ac:dyDescent="0.25">
      <c r="A40" s="12">
        <f>26/39</f>
        <v>0.66666666666666663</v>
      </c>
      <c r="B40" s="19" t="s">
        <v>13</v>
      </c>
      <c r="C40" s="20"/>
      <c r="D40" s="13">
        <v>6</v>
      </c>
      <c r="E40" s="13">
        <v>1</v>
      </c>
      <c r="F40" s="13">
        <v>9</v>
      </c>
      <c r="G40" s="13">
        <v>10</v>
      </c>
      <c r="H40" s="13">
        <v>10</v>
      </c>
      <c r="I40" s="13">
        <v>3</v>
      </c>
    </row>
    <row r="41" spans="1:10" x14ac:dyDescent="0.25">
      <c r="A41" s="12">
        <f>13/25</f>
        <v>0.52</v>
      </c>
      <c r="B41" s="19" t="s">
        <v>14</v>
      </c>
      <c r="C41" s="20"/>
      <c r="D41" s="13">
        <v>1</v>
      </c>
      <c r="E41" s="13">
        <v>1</v>
      </c>
      <c r="F41" s="13">
        <v>7</v>
      </c>
      <c r="G41" s="13">
        <v>4</v>
      </c>
      <c r="H41" s="13">
        <v>10</v>
      </c>
      <c r="I41" s="13">
        <v>2</v>
      </c>
    </row>
    <row r="42" spans="1:10" ht="15" customHeight="1" x14ac:dyDescent="0.25">
      <c r="A42" s="12">
        <f>10/27</f>
        <v>0.37037037037037035</v>
      </c>
      <c r="B42" s="19" t="s">
        <v>15</v>
      </c>
      <c r="C42" s="20"/>
      <c r="D42" s="13">
        <v>1</v>
      </c>
      <c r="E42" s="13">
        <v>0</v>
      </c>
      <c r="F42" s="13">
        <v>4</v>
      </c>
      <c r="G42" s="13">
        <v>5</v>
      </c>
      <c r="H42" s="13">
        <v>9</v>
      </c>
      <c r="I42" s="13">
        <v>8</v>
      </c>
    </row>
    <row r="43" spans="1:10" x14ac:dyDescent="0.25">
      <c r="A43" s="12">
        <f>24/74</f>
        <v>0.32432432432432434</v>
      </c>
      <c r="B43" s="19" t="s">
        <v>16</v>
      </c>
      <c r="C43" s="20"/>
      <c r="D43" s="13">
        <v>3</v>
      </c>
      <c r="E43" s="13">
        <v>3</v>
      </c>
      <c r="F43" s="13">
        <v>8</v>
      </c>
      <c r="G43" s="13">
        <v>10</v>
      </c>
      <c r="H43" s="13">
        <v>20</v>
      </c>
      <c r="I43" s="13">
        <v>30</v>
      </c>
    </row>
    <row r="44" spans="1:10" x14ac:dyDescent="0.25">
      <c r="A44" s="12">
        <f>16/35</f>
        <v>0.45714285714285713</v>
      </c>
      <c r="B44" s="19" t="s">
        <v>17</v>
      </c>
      <c r="C44" s="20"/>
      <c r="D44" s="13">
        <v>3</v>
      </c>
      <c r="E44" s="13">
        <v>0</v>
      </c>
      <c r="F44" s="13">
        <v>3</v>
      </c>
      <c r="G44" s="13">
        <v>10</v>
      </c>
      <c r="H44" s="13">
        <v>11</v>
      </c>
      <c r="I44" s="13">
        <v>8</v>
      </c>
    </row>
    <row r="45" spans="1:10" x14ac:dyDescent="0.25">
      <c r="A45" s="12">
        <f>4/18</f>
        <v>0.22222222222222221</v>
      </c>
      <c r="B45" s="19" t="s">
        <v>18</v>
      </c>
      <c r="C45" s="20"/>
      <c r="D45" s="13">
        <v>0</v>
      </c>
      <c r="E45" s="13">
        <v>0</v>
      </c>
      <c r="F45" s="13">
        <v>2</v>
      </c>
      <c r="G45" s="13">
        <v>2</v>
      </c>
      <c r="H45" s="13">
        <v>5</v>
      </c>
      <c r="I45" s="13">
        <v>9</v>
      </c>
    </row>
    <row r="46" spans="1:10" x14ac:dyDescent="0.25">
      <c r="A46" s="12">
        <f>17/34</f>
        <v>0.5</v>
      </c>
      <c r="B46" s="19" t="s">
        <v>19</v>
      </c>
      <c r="C46" s="20"/>
      <c r="D46" s="13">
        <v>4</v>
      </c>
      <c r="E46" s="13">
        <v>2</v>
      </c>
      <c r="F46" s="13">
        <v>3</v>
      </c>
      <c r="G46" s="13">
        <v>8</v>
      </c>
      <c r="H46" s="13">
        <v>14</v>
      </c>
      <c r="I46" s="13">
        <v>3</v>
      </c>
    </row>
    <row r="47" spans="1:10" x14ac:dyDescent="0.25">
      <c r="A47" s="12">
        <f>4/19</f>
        <v>0.21052631578947367</v>
      </c>
      <c r="B47" s="19" t="s">
        <v>20</v>
      </c>
      <c r="C47" s="20"/>
      <c r="D47" s="13">
        <v>1</v>
      </c>
      <c r="E47" s="13">
        <v>0</v>
      </c>
      <c r="F47" s="13">
        <v>2</v>
      </c>
      <c r="G47" s="13">
        <v>1</v>
      </c>
      <c r="H47" s="13">
        <v>4</v>
      </c>
      <c r="I47" s="13">
        <v>11</v>
      </c>
    </row>
    <row r="48" spans="1:10" x14ac:dyDescent="0.25">
      <c r="A48" s="12">
        <f>9/43</f>
        <v>0.20930232558139536</v>
      </c>
      <c r="B48" s="19" t="s">
        <v>21</v>
      </c>
      <c r="C48" s="20"/>
      <c r="D48" s="13">
        <v>1</v>
      </c>
      <c r="E48" s="13">
        <v>4</v>
      </c>
      <c r="F48" s="13">
        <v>3</v>
      </c>
      <c r="G48" s="13">
        <v>1</v>
      </c>
      <c r="H48" s="13">
        <v>33</v>
      </c>
      <c r="I48" s="13">
        <v>1</v>
      </c>
    </row>
    <row r="49" spans="1:10" x14ac:dyDescent="0.25">
      <c r="A49" s="12">
        <f>23/57</f>
        <v>0.40350877192982454</v>
      </c>
      <c r="B49" s="19" t="s">
        <v>22</v>
      </c>
      <c r="C49" s="20"/>
      <c r="D49" s="13">
        <v>7</v>
      </c>
      <c r="E49" s="13">
        <v>0</v>
      </c>
      <c r="F49" s="13">
        <v>9</v>
      </c>
      <c r="G49" s="13">
        <v>7</v>
      </c>
      <c r="H49" s="13">
        <v>20</v>
      </c>
      <c r="I49" s="13">
        <v>14</v>
      </c>
    </row>
    <row r="50" spans="1:10" x14ac:dyDescent="0.25">
      <c r="A50" s="12">
        <f>13/33</f>
        <v>0.39393939393939392</v>
      </c>
      <c r="B50" s="19" t="s">
        <v>23</v>
      </c>
      <c r="C50" s="20"/>
      <c r="D50" s="13">
        <v>1</v>
      </c>
      <c r="E50" s="13">
        <v>4</v>
      </c>
      <c r="F50" s="13">
        <v>0</v>
      </c>
      <c r="G50" s="13">
        <v>8</v>
      </c>
      <c r="H50" s="13">
        <v>8</v>
      </c>
      <c r="I50" s="13">
        <v>12</v>
      </c>
    </row>
    <row r="51" spans="1:10" x14ac:dyDescent="0.25">
      <c r="A51" s="12">
        <f>3/18</f>
        <v>0.16666666666666666</v>
      </c>
      <c r="B51" s="19" t="s">
        <v>24</v>
      </c>
      <c r="C51" s="20"/>
      <c r="D51" s="13">
        <v>0</v>
      </c>
      <c r="E51" s="13">
        <v>1</v>
      </c>
      <c r="F51" s="13">
        <v>0</v>
      </c>
      <c r="G51" s="13">
        <v>2</v>
      </c>
      <c r="H51" s="13">
        <v>14</v>
      </c>
      <c r="I51" s="13">
        <v>1</v>
      </c>
    </row>
    <row r="52" spans="1:10" x14ac:dyDescent="0.25">
      <c r="A52" s="12">
        <f>23/47</f>
        <v>0.48936170212765956</v>
      </c>
      <c r="B52" s="19" t="s">
        <v>25</v>
      </c>
      <c r="C52" s="20"/>
      <c r="D52" s="13">
        <v>4</v>
      </c>
      <c r="E52" s="13">
        <v>1</v>
      </c>
      <c r="F52" s="13">
        <v>7</v>
      </c>
      <c r="G52" s="13">
        <v>11</v>
      </c>
      <c r="H52" s="13">
        <v>14</v>
      </c>
      <c r="I52" s="13">
        <v>10</v>
      </c>
    </row>
    <row r="53" spans="1:10" x14ac:dyDescent="0.25">
      <c r="A53" s="12">
        <f>6/20</f>
        <v>0.3</v>
      </c>
      <c r="B53" s="19" t="s">
        <v>26</v>
      </c>
      <c r="C53" s="20"/>
      <c r="D53" s="13">
        <v>3</v>
      </c>
      <c r="E53" s="13">
        <v>0</v>
      </c>
      <c r="F53" s="13">
        <v>1</v>
      </c>
      <c r="G53" s="13">
        <v>2</v>
      </c>
      <c r="H53" s="13">
        <v>6</v>
      </c>
      <c r="I53" s="13">
        <v>8</v>
      </c>
    </row>
    <row r="54" spans="1:10" x14ac:dyDescent="0.25">
      <c r="B54" s="21" t="s">
        <v>9</v>
      </c>
      <c r="C54" s="22"/>
      <c r="D54" s="4">
        <f>SUM(D37:D53)</f>
        <v>42</v>
      </c>
      <c r="E54" s="4">
        <f t="shared" ref="E54:I54" si="0">SUM(E37:E53)</f>
        <v>26</v>
      </c>
      <c r="F54" s="4">
        <f t="shared" si="0"/>
        <v>73</v>
      </c>
      <c r="G54" s="4">
        <f t="shared" si="0"/>
        <v>100</v>
      </c>
      <c r="H54" s="4">
        <f t="shared" si="0"/>
        <v>210</v>
      </c>
      <c r="I54" s="4">
        <f t="shared" si="0"/>
        <v>144</v>
      </c>
      <c r="J54" s="9"/>
    </row>
    <row r="57" spans="1:10" x14ac:dyDescent="0.25">
      <c r="E57" s="12"/>
    </row>
    <row r="58" spans="1:10" x14ac:dyDescent="0.25">
      <c r="J58" s="12"/>
    </row>
    <row r="59" spans="1:10" x14ac:dyDescent="0.25">
      <c r="A59" t="s">
        <v>49</v>
      </c>
      <c r="B59" t="s">
        <v>50</v>
      </c>
    </row>
  </sheetData>
  <mergeCells count="23">
    <mergeCell ref="B37:C37"/>
    <mergeCell ref="B1:J3"/>
    <mergeCell ref="C4:I4"/>
    <mergeCell ref="C27:I27"/>
    <mergeCell ref="A34:I34"/>
    <mergeCell ref="B36:C36"/>
    <mergeCell ref="B49:C49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50:C50"/>
    <mergeCell ref="B51:C51"/>
    <mergeCell ref="B52:C52"/>
    <mergeCell ref="B53:C53"/>
    <mergeCell ref="B54:C54"/>
  </mergeCells>
  <pageMargins left="0.51181102362204722" right="0.51181102362204722" top="0.78740157480314965" bottom="0.78740157480314965" header="0.31496062992125984" footer="0.31496062992125984"/>
  <pageSetup paperSize="9" scale="67" orientation="portrait" horizontalDpi="360" verticalDpi="360" r:id="rId1"/>
  <headerFooter>
    <oddHeader xml:space="preserve">&amp;L 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4"/>
  <sheetViews>
    <sheetView view="pageLayout" topLeftCell="A52" zoomScale="118" zoomScalePageLayoutView="118" workbookViewId="0">
      <selection activeCell="J65" sqref="J65"/>
    </sheetView>
  </sheetViews>
  <sheetFormatPr defaultRowHeight="15" x14ac:dyDescent="0.25"/>
  <cols>
    <col min="2" max="2" width="8.7109375" customWidth="1"/>
    <col min="3" max="3" width="11.85546875" customWidth="1"/>
    <col min="4" max="9" width="15.7109375" customWidth="1"/>
  </cols>
  <sheetData>
    <row r="1" spans="2:10" x14ac:dyDescent="0.25">
      <c r="B1" s="23" t="s">
        <v>43</v>
      </c>
      <c r="C1" s="23"/>
      <c r="D1" s="23"/>
      <c r="E1" s="23"/>
      <c r="F1" s="23"/>
      <c r="G1" s="23"/>
      <c r="H1" s="23"/>
      <c r="I1" s="23"/>
      <c r="J1" s="23"/>
    </row>
    <row r="2" spans="2:10" x14ac:dyDescent="0.25">
      <c r="B2" s="23"/>
      <c r="C2" s="23"/>
      <c r="D2" s="23"/>
      <c r="E2" s="23"/>
      <c r="F2" s="23"/>
      <c r="G2" s="23"/>
      <c r="H2" s="23"/>
      <c r="I2" s="23"/>
      <c r="J2" s="23"/>
    </row>
    <row r="3" spans="2:10" x14ac:dyDescent="0.25">
      <c r="B3" s="23"/>
      <c r="C3" s="23"/>
      <c r="D3" s="23"/>
      <c r="E3" s="23"/>
      <c r="F3" s="23"/>
      <c r="G3" s="23"/>
      <c r="H3" s="23"/>
      <c r="I3" s="23"/>
      <c r="J3" s="23"/>
    </row>
    <row r="4" spans="2:10" ht="30" customHeight="1" x14ac:dyDescent="0.4">
      <c r="C4" s="24" t="s">
        <v>29</v>
      </c>
      <c r="D4" s="24"/>
      <c r="E4" s="24"/>
      <c r="F4" s="24"/>
      <c r="G4" s="24"/>
      <c r="H4" s="24"/>
      <c r="I4" s="24"/>
    </row>
    <row r="27" spans="3:10" ht="18" x14ac:dyDescent="0.25">
      <c r="C27" s="25" t="s">
        <v>33</v>
      </c>
      <c r="D27" s="26"/>
      <c r="E27" s="26"/>
      <c r="F27" s="26"/>
      <c r="G27" s="26"/>
      <c r="H27" s="26"/>
      <c r="I27" s="27"/>
    </row>
    <row r="28" spans="3:10" ht="15.75" x14ac:dyDescent="0.25">
      <c r="C28" s="1" t="s">
        <v>7</v>
      </c>
      <c r="D28" s="2" t="s">
        <v>6</v>
      </c>
      <c r="E28" s="2" t="s">
        <v>0</v>
      </c>
      <c r="F28" s="2" t="s">
        <v>1</v>
      </c>
      <c r="G28" s="17" t="s">
        <v>2</v>
      </c>
      <c r="H28" s="2" t="s">
        <v>3</v>
      </c>
      <c r="I28" s="2" t="s">
        <v>4</v>
      </c>
    </row>
    <row r="29" spans="3:10" ht="15.75" x14ac:dyDescent="0.25">
      <c r="C29" s="3" t="s">
        <v>41</v>
      </c>
      <c r="D29" s="6">
        <f>28/674</f>
        <v>4.1543026706231452E-2</v>
      </c>
      <c r="E29" s="6">
        <f>16/674</f>
        <v>2.3738872403560832E-2</v>
      </c>
      <c r="F29" s="6">
        <f>44/674</f>
        <v>6.5281899109792291E-2</v>
      </c>
      <c r="G29" s="6">
        <f>76/674</f>
        <v>0.11275964391691394</v>
      </c>
      <c r="H29" s="6">
        <f>161/674</f>
        <v>0.23887240356083086</v>
      </c>
      <c r="I29" s="6">
        <f>349/674</f>
        <v>0.51780415430267057</v>
      </c>
    </row>
    <row r="30" spans="3:10" ht="15.75" x14ac:dyDescent="0.25">
      <c r="C30" s="3" t="s">
        <v>5</v>
      </c>
      <c r="D30" s="3">
        <v>28</v>
      </c>
      <c r="E30" s="3">
        <v>16</v>
      </c>
      <c r="F30" s="3">
        <v>44</v>
      </c>
      <c r="G30" s="3">
        <v>76</v>
      </c>
      <c r="H30" s="3">
        <v>161</v>
      </c>
      <c r="I30" s="3">
        <v>349</v>
      </c>
      <c r="J30" s="10">
        <f>SUM(D30:I30)</f>
        <v>674</v>
      </c>
    </row>
    <row r="32" spans="3:10" x14ac:dyDescent="0.25">
      <c r="C32" t="s">
        <v>45</v>
      </c>
      <c r="D32" s="16"/>
      <c r="E32" s="15"/>
      <c r="F32" s="16"/>
      <c r="G32" s="16"/>
      <c r="H32" s="16"/>
    </row>
    <row r="34" spans="1:9" ht="26.25" x14ac:dyDescent="0.4">
      <c r="A34" s="28" t="s">
        <v>34</v>
      </c>
      <c r="B34" s="28"/>
      <c r="C34" s="28"/>
      <c r="D34" s="28"/>
      <c r="E34" s="28"/>
      <c r="F34" s="28"/>
      <c r="G34" s="28"/>
      <c r="H34" s="28"/>
      <c r="I34" s="28"/>
    </row>
    <row r="36" spans="1:9" x14ac:dyDescent="0.25">
      <c r="B36" s="29" t="s">
        <v>8</v>
      </c>
      <c r="C36" s="30"/>
      <c r="D36" s="2" t="s">
        <v>6</v>
      </c>
      <c r="E36" s="2" t="s">
        <v>0</v>
      </c>
      <c r="F36" s="2" t="s">
        <v>1</v>
      </c>
      <c r="G36" s="17" t="s">
        <v>2</v>
      </c>
      <c r="H36" s="2" t="s">
        <v>3</v>
      </c>
      <c r="I36" s="2" t="s">
        <v>4</v>
      </c>
    </row>
    <row r="37" spans="1:9" x14ac:dyDescent="0.25">
      <c r="A37" s="5">
        <f>11/31</f>
        <v>0.35483870967741937</v>
      </c>
      <c r="B37" s="31" t="s">
        <v>10</v>
      </c>
      <c r="C37" s="32"/>
      <c r="D37" s="13">
        <v>3</v>
      </c>
      <c r="E37" s="13">
        <v>0</v>
      </c>
      <c r="F37" s="13">
        <v>4</v>
      </c>
      <c r="G37" s="13">
        <v>2</v>
      </c>
      <c r="H37" s="13">
        <v>2</v>
      </c>
      <c r="I37" s="13">
        <v>20</v>
      </c>
    </row>
    <row r="38" spans="1:9" x14ac:dyDescent="0.25">
      <c r="A38" s="5">
        <f>28/63</f>
        <v>0.44444444444444442</v>
      </c>
      <c r="B38" s="31" t="s">
        <v>11</v>
      </c>
      <c r="C38" s="32"/>
      <c r="D38" s="13">
        <v>3</v>
      </c>
      <c r="E38" s="13">
        <v>2</v>
      </c>
      <c r="F38" s="13">
        <v>4</v>
      </c>
      <c r="G38" s="13">
        <v>4</v>
      </c>
      <c r="H38" s="13">
        <v>15</v>
      </c>
      <c r="I38" s="13">
        <v>35</v>
      </c>
    </row>
    <row r="39" spans="1:9" x14ac:dyDescent="0.25">
      <c r="A39" s="5">
        <f>15/24</f>
        <v>0.625</v>
      </c>
      <c r="B39" s="31" t="s">
        <v>12</v>
      </c>
      <c r="C39" s="32"/>
      <c r="D39" s="13">
        <v>1</v>
      </c>
      <c r="E39" s="13">
        <v>1</v>
      </c>
      <c r="F39" s="13">
        <v>3</v>
      </c>
      <c r="G39" s="13">
        <v>3</v>
      </c>
      <c r="H39" s="13">
        <v>7</v>
      </c>
      <c r="I39" s="13">
        <v>9</v>
      </c>
    </row>
    <row r="40" spans="1:9" x14ac:dyDescent="0.25">
      <c r="A40" s="5">
        <f>17/40</f>
        <v>0.42499999999999999</v>
      </c>
      <c r="B40" s="31" t="s">
        <v>13</v>
      </c>
      <c r="C40" s="32"/>
      <c r="D40" s="13">
        <v>0</v>
      </c>
      <c r="E40" s="13">
        <v>2</v>
      </c>
      <c r="F40" s="13">
        <v>3</v>
      </c>
      <c r="G40" s="13">
        <v>7</v>
      </c>
      <c r="H40" s="13">
        <v>5</v>
      </c>
      <c r="I40" s="13">
        <v>23</v>
      </c>
    </row>
    <row r="41" spans="1:9" x14ac:dyDescent="0.25">
      <c r="A41" s="5">
        <f>15/36</f>
        <v>0.41666666666666669</v>
      </c>
      <c r="B41" s="31" t="s">
        <v>14</v>
      </c>
      <c r="C41" s="32"/>
      <c r="D41" s="13">
        <v>3</v>
      </c>
      <c r="E41" s="13">
        <v>0</v>
      </c>
      <c r="F41" s="13">
        <v>3</v>
      </c>
      <c r="G41" s="13">
        <v>2</v>
      </c>
      <c r="H41" s="13">
        <v>7</v>
      </c>
      <c r="I41" s="13">
        <v>21</v>
      </c>
    </row>
    <row r="42" spans="1:9" ht="15" customHeight="1" x14ac:dyDescent="0.25">
      <c r="A42" s="5">
        <f>12/19</f>
        <v>0.63157894736842102</v>
      </c>
      <c r="B42" s="31" t="s">
        <v>15</v>
      </c>
      <c r="C42" s="32"/>
      <c r="D42" s="13">
        <v>0</v>
      </c>
      <c r="E42" s="13">
        <v>3</v>
      </c>
      <c r="F42" s="13">
        <v>2</v>
      </c>
      <c r="G42" s="13">
        <v>2</v>
      </c>
      <c r="H42" s="13">
        <v>5</v>
      </c>
      <c r="I42" s="13">
        <v>7</v>
      </c>
    </row>
    <row r="43" spans="1:9" x14ac:dyDescent="0.25">
      <c r="A43" s="5">
        <f>38/71</f>
        <v>0.53521126760563376</v>
      </c>
      <c r="B43" s="31" t="s">
        <v>16</v>
      </c>
      <c r="C43" s="32"/>
      <c r="D43" s="13">
        <v>3</v>
      </c>
      <c r="E43" s="13">
        <v>0</v>
      </c>
      <c r="F43" s="13">
        <v>7</v>
      </c>
      <c r="G43" s="13">
        <v>10</v>
      </c>
      <c r="H43" s="13">
        <v>18</v>
      </c>
      <c r="I43" s="13">
        <v>33</v>
      </c>
    </row>
    <row r="44" spans="1:9" x14ac:dyDescent="0.25">
      <c r="A44" s="5">
        <f>18/40</f>
        <v>0.45</v>
      </c>
      <c r="B44" s="31" t="s">
        <v>17</v>
      </c>
      <c r="C44" s="32"/>
      <c r="D44" s="13">
        <v>3</v>
      </c>
      <c r="E44" s="13">
        <v>2</v>
      </c>
      <c r="F44" s="13">
        <v>2</v>
      </c>
      <c r="G44" s="13">
        <v>4</v>
      </c>
      <c r="H44" s="13">
        <v>7</v>
      </c>
      <c r="I44" s="13">
        <v>22</v>
      </c>
    </row>
    <row r="45" spans="1:9" x14ac:dyDescent="0.25">
      <c r="A45" s="5">
        <f>7/19</f>
        <v>0.36842105263157893</v>
      </c>
      <c r="B45" s="31" t="s">
        <v>18</v>
      </c>
      <c r="C45" s="32"/>
      <c r="D45" s="13">
        <v>1</v>
      </c>
      <c r="E45" s="13">
        <v>0</v>
      </c>
      <c r="F45" s="13">
        <v>1</v>
      </c>
      <c r="G45" s="13">
        <v>0</v>
      </c>
      <c r="H45" s="13">
        <v>5</v>
      </c>
      <c r="I45" s="13">
        <v>12</v>
      </c>
    </row>
    <row r="46" spans="1:9" x14ac:dyDescent="0.25">
      <c r="A46" s="5">
        <f>28/47</f>
        <v>0.5957446808510638</v>
      </c>
      <c r="B46" s="31" t="s">
        <v>19</v>
      </c>
      <c r="C46" s="32"/>
      <c r="D46" s="13">
        <v>1</v>
      </c>
      <c r="E46" s="13">
        <v>0</v>
      </c>
      <c r="F46" s="13">
        <v>2</v>
      </c>
      <c r="G46" s="13">
        <v>8</v>
      </c>
      <c r="H46" s="13">
        <v>17</v>
      </c>
      <c r="I46" s="13">
        <v>19</v>
      </c>
    </row>
    <row r="47" spans="1:9" x14ac:dyDescent="0.25">
      <c r="A47" s="5">
        <f>19/24</f>
        <v>0.79166666666666663</v>
      </c>
      <c r="B47" s="31" t="s">
        <v>20</v>
      </c>
      <c r="C47" s="32"/>
      <c r="D47" s="13">
        <v>3</v>
      </c>
      <c r="E47" s="13">
        <v>0</v>
      </c>
      <c r="F47" s="13">
        <v>2</v>
      </c>
      <c r="G47" s="13">
        <v>2</v>
      </c>
      <c r="H47" s="13">
        <v>12</v>
      </c>
      <c r="I47" s="13">
        <v>5</v>
      </c>
    </row>
    <row r="48" spans="1:9" x14ac:dyDescent="0.25">
      <c r="A48" s="5">
        <f>19/43</f>
        <v>0.44186046511627908</v>
      </c>
      <c r="B48" s="31" t="s">
        <v>21</v>
      </c>
      <c r="C48" s="32"/>
      <c r="D48" s="13">
        <v>2</v>
      </c>
      <c r="E48" s="13">
        <v>0</v>
      </c>
      <c r="F48" s="13">
        <v>0</v>
      </c>
      <c r="G48" s="13">
        <v>7</v>
      </c>
      <c r="H48" s="13">
        <v>10</v>
      </c>
      <c r="I48" s="13">
        <v>24</v>
      </c>
    </row>
    <row r="49" spans="1:9" x14ac:dyDescent="0.25">
      <c r="A49" s="5">
        <f>25/69</f>
        <v>0.36231884057971014</v>
      </c>
      <c r="B49" s="31" t="s">
        <v>22</v>
      </c>
      <c r="C49" s="32"/>
      <c r="D49" s="13">
        <v>0</v>
      </c>
      <c r="E49" s="13">
        <v>0</v>
      </c>
      <c r="F49" s="13">
        <v>1</v>
      </c>
      <c r="G49" s="13">
        <v>3</v>
      </c>
      <c r="H49" s="13">
        <v>21</v>
      </c>
      <c r="I49" s="13">
        <v>44</v>
      </c>
    </row>
    <row r="50" spans="1:9" x14ac:dyDescent="0.25">
      <c r="A50" s="5">
        <f>24/43</f>
        <v>0.55813953488372092</v>
      </c>
      <c r="B50" s="31" t="s">
        <v>23</v>
      </c>
      <c r="C50" s="32"/>
      <c r="D50" s="13">
        <v>5</v>
      </c>
      <c r="E50" s="13">
        <v>2</v>
      </c>
      <c r="F50" s="13">
        <v>3</v>
      </c>
      <c r="G50" s="13">
        <v>9</v>
      </c>
      <c r="H50" s="13">
        <v>5</v>
      </c>
      <c r="I50" s="13">
        <v>19</v>
      </c>
    </row>
    <row r="51" spans="1:9" x14ac:dyDescent="0.25">
      <c r="A51" s="5">
        <f>9/23</f>
        <v>0.39130434782608697</v>
      </c>
      <c r="B51" s="31" t="s">
        <v>24</v>
      </c>
      <c r="C51" s="32"/>
      <c r="D51" s="13">
        <v>0</v>
      </c>
      <c r="E51" s="13">
        <v>2</v>
      </c>
      <c r="F51" s="13">
        <v>0</v>
      </c>
      <c r="G51" s="13">
        <v>3</v>
      </c>
      <c r="H51" s="13">
        <v>4</v>
      </c>
      <c r="I51" s="13">
        <v>14</v>
      </c>
    </row>
    <row r="52" spans="1:9" x14ac:dyDescent="0.25">
      <c r="A52" s="5">
        <f>35/59</f>
        <v>0.59322033898305082</v>
      </c>
      <c r="B52" s="31" t="s">
        <v>25</v>
      </c>
      <c r="C52" s="32"/>
      <c r="D52" s="13">
        <v>0</v>
      </c>
      <c r="E52" s="13">
        <v>2</v>
      </c>
      <c r="F52" s="13">
        <v>7</v>
      </c>
      <c r="G52" s="13">
        <v>10</v>
      </c>
      <c r="H52" s="13">
        <v>16</v>
      </c>
      <c r="I52" s="13">
        <v>24</v>
      </c>
    </row>
    <row r="53" spans="1:9" x14ac:dyDescent="0.25">
      <c r="A53" s="5">
        <f>5/23</f>
        <v>0.21739130434782608</v>
      </c>
      <c r="B53" s="31" t="s">
        <v>26</v>
      </c>
      <c r="C53" s="32"/>
      <c r="D53" s="13">
        <v>0</v>
      </c>
      <c r="E53" s="13">
        <v>0</v>
      </c>
      <c r="F53" s="13">
        <v>0</v>
      </c>
      <c r="G53" s="13">
        <v>0</v>
      </c>
      <c r="H53" s="13">
        <v>5</v>
      </c>
      <c r="I53" s="13">
        <v>18</v>
      </c>
    </row>
    <row r="54" spans="1:9" x14ac:dyDescent="0.25">
      <c r="B54" s="21" t="s">
        <v>9</v>
      </c>
      <c r="C54" s="22"/>
      <c r="D54" s="4">
        <f t="shared" ref="D54:I54" si="0">SUM(D37:D53)</f>
        <v>28</v>
      </c>
      <c r="E54" s="4">
        <f t="shared" si="0"/>
        <v>16</v>
      </c>
      <c r="F54" s="4">
        <f t="shared" si="0"/>
        <v>44</v>
      </c>
      <c r="G54" s="4">
        <f t="shared" si="0"/>
        <v>76</v>
      </c>
      <c r="H54" s="4">
        <f t="shared" si="0"/>
        <v>161</v>
      </c>
      <c r="I54" s="4">
        <f t="shared" si="0"/>
        <v>349</v>
      </c>
    </row>
  </sheetData>
  <mergeCells count="23">
    <mergeCell ref="B37:C37"/>
    <mergeCell ref="B1:J3"/>
    <mergeCell ref="C4:I4"/>
    <mergeCell ref="C27:I27"/>
    <mergeCell ref="A34:I34"/>
    <mergeCell ref="B36:C36"/>
    <mergeCell ref="B49:C49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50:C50"/>
    <mergeCell ref="B51:C51"/>
    <mergeCell ref="B52:C52"/>
    <mergeCell ref="B53:C53"/>
    <mergeCell ref="B54:C54"/>
  </mergeCells>
  <pageMargins left="0.51181102362204722" right="0.51181102362204722" top="0.78740157480314965" bottom="0.78740157480314965" header="0.31496062992125984" footer="0.31496062992125984"/>
  <pageSetup paperSize="9" scale="68" orientation="portrait" r:id="rId1"/>
  <headerFooter>
    <oddHeader xml:space="preserve">&amp;L 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4"/>
  <sheetViews>
    <sheetView view="pageLayout" topLeftCell="A28" workbookViewId="0">
      <selection activeCell="I68" sqref="I68"/>
    </sheetView>
  </sheetViews>
  <sheetFormatPr defaultRowHeight="15" x14ac:dyDescent="0.25"/>
  <cols>
    <col min="2" max="2" width="8.7109375" customWidth="1"/>
    <col min="3" max="3" width="11.85546875" customWidth="1"/>
    <col min="4" max="9" width="15.7109375" customWidth="1"/>
  </cols>
  <sheetData>
    <row r="1" spans="2:10" x14ac:dyDescent="0.25">
      <c r="B1" s="23" t="s">
        <v>43</v>
      </c>
      <c r="C1" s="23"/>
      <c r="D1" s="23"/>
      <c r="E1" s="23"/>
      <c r="F1" s="23"/>
      <c r="G1" s="23"/>
      <c r="H1" s="23"/>
      <c r="I1" s="23"/>
      <c r="J1" s="23"/>
    </row>
    <row r="2" spans="2:10" x14ac:dyDescent="0.25">
      <c r="B2" s="23"/>
      <c r="C2" s="23"/>
      <c r="D2" s="23"/>
      <c r="E2" s="23"/>
      <c r="F2" s="23"/>
      <c r="G2" s="23"/>
      <c r="H2" s="23"/>
      <c r="I2" s="23"/>
      <c r="J2" s="23"/>
    </row>
    <row r="3" spans="2:10" x14ac:dyDescent="0.25">
      <c r="B3" s="23"/>
      <c r="C3" s="23"/>
      <c r="D3" s="23"/>
      <c r="E3" s="23"/>
      <c r="F3" s="23"/>
      <c r="G3" s="23"/>
      <c r="H3" s="23"/>
      <c r="I3" s="23"/>
      <c r="J3" s="23"/>
    </row>
    <row r="4" spans="2:10" ht="30" customHeight="1" x14ac:dyDescent="0.4">
      <c r="C4" s="24" t="s">
        <v>30</v>
      </c>
      <c r="D4" s="24"/>
      <c r="E4" s="24"/>
      <c r="F4" s="24"/>
      <c r="G4" s="24"/>
      <c r="H4" s="24"/>
      <c r="I4" s="24"/>
    </row>
    <row r="27" spans="3:10" ht="18" x14ac:dyDescent="0.25">
      <c r="C27" s="25" t="s">
        <v>31</v>
      </c>
      <c r="D27" s="26"/>
      <c r="E27" s="26"/>
      <c r="F27" s="26"/>
      <c r="G27" s="26"/>
      <c r="H27" s="26"/>
      <c r="I27" s="27"/>
    </row>
    <row r="28" spans="3:10" ht="15.75" x14ac:dyDescent="0.25">
      <c r="C28" s="1" t="s">
        <v>7</v>
      </c>
      <c r="D28" s="2" t="s">
        <v>6</v>
      </c>
      <c r="E28" s="2" t="s">
        <v>0</v>
      </c>
      <c r="F28" s="2" t="s">
        <v>1</v>
      </c>
      <c r="G28" s="2" t="s">
        <v>2</v>
      </c>
      <c r="H28" s="2" t="s">
        <v>3</v>
      </c>
      <c r="I28" s="2" t="s">
        <v>4</v>
      </c>
    </row>
    <row r="29" spans="3:10" ht="15.75" x14ac:dyDescent="0.25">
      <c r="C29" s="3" t="s">
        <v>41</v>
      </c>
      <c r="D29" s="8">
        <f>10/650</f>
        <v>1.5384615384615385E-2</v>
      </c>
      <c r="E29" s="8">
        <f>11/650</f>
        <v>1.6923076923076923E-2</v>
      </c>
      <c r="F29" s="8">
        <f>27/650</f>
        <v>4.1538461538461538E-2</v>
      </c>
      <c r="G29" s="8">
        <f>44/650</f>
        <v>6.7692307692307691E-2</v>
      </c>
      <c r="H29" s="8">
        <f>119/650</f>
        <v>0.18307692307692308</v>
      </c>
      <c r="I29" s="8">
        <f>439/650</f>
        <v>0.67538461538461536</v>
      </c>
    </row>
    <row r="30" spans="3:10" ht="15.75" x14ac:dyDescent="0.25">
      <c r="C30" s="3" t="s">
        <v>5</v>
      </c>
      <c r="D30" s="4">
        <v>10</v>
      </c>
      <c r="E30" s="4">
        <v>11</v>
      </c>
      <c r="F30" s="4">
        <v>27</v>
      </c>
      <c r="G30" s="4">
        <v>44</v>
      </c>
      <c r="H30" s="4">
        <v>119</v>
      </c>
      <c r="I30" s="4">
        <v>439</v>
      </c>
      <c r="J30">
        <f>SUM(D30:I30)</f>
        <v>650</v>
      </c>
    </row>
    <row r="32" spans="3:10" x14ac:dyDescent="0.25">
      <c r="C32" t="s">
        <v>46</v>
      </c>
      <c r="D32" s="16"/>
      <c r="E32" s="15"/>
      <c r="F32" s="16"/>
      <c r="G32" s="16"/>
      <c r="H32" s="16"/>
    </row>
    <row r="34" spans="1:9" ht="26.25" x14ac:dyDescent="0.4">
      <c r="A34" s="28" t="s">
        <v>32</v>
      </c>
      <c r="B34" s="28"/>
      <c r="C34" s="28"/>
      <c r="D34" s="28"/>
      <c r="E34" s="28"/>
      <c r="F34" s="28"/>
      <c r="G34" s="28"/>
      <c r="H34" s="28"/>
      <c r="I34" s="28"/>
    </row>
    <row r="36" spans="1:9" x14ac:dyDescent="0.25">
      <c r="B36" s="29" t="s">
        <v>8</v>
      </c>
      <c r="C36" s="30"/>
      <c r="D36" s="2" t="s">
        <v>6</v>
      </c>
      <c r="E36" s="2" t="s">
        <v>0</v>
      </c>
      <c r="F36" s="2" t="s">
        <v>1</v>
      </c>
      <c r="G36" s="2" t="s">
        <v>2</v>
      </c>
      <c r="H36" s="2" t="s">
        <v>3</v>
      </c>
      <c r="I36" s="2" t="s">
        <v>4</v>
      </c>
    </row>
    <row r="37" spans="1:9" x14ac:dyDescent="0.25">
      <c r="A37" s="5">
        <f>7/40</f>
        <v>0.17499999999999999</v>
      </c>
      <c r="B37" s="31" t="s">
        <v>10</v>
      </c>
      <c r="C37" s="32"/>
      <c r="D37" s="13">
        <v>0</v>
      </c>
      <c r="E37" s="13">
        <v>1</v>
      </c>
      <c r="F37" s="13">
        <v>3</v>
      </c>
      <c r="G37" s="13">
        <v>1</v>
      </c>
      <c r="H37" s="13">
        <v>2</v>
      </c>
      <c r="I37" s="13">
        <v>33</v>
      </c>
    </row>
    <row r="38" spans="1:9" x14ac:dyDescent="0.25">
      <c r="A38" s="5">
        <f>20/54</f>
        <v>0.37037037037037035</v>
      </c>
      <c r="B38" s="31" t="s">
        <v>11</v>
      </c>
      <c r="C38" s="32"/>
      <c r="D38" s="13">
        <v>1</v>
      </c>
      <c r="E38" s="13">
        <v>2</v>
      </c>
      <c r="F38" s="13">
        <v>5</v>
      </c>
      <c r="G38" s="13">
        <v>4</v>
      </c>
      <c r="H38" s="13">
        <v>8</v>
      </c>
      <c r="I38" s="13">
        <v>34</v>
      </c>
    </row>
    <row r="39" spans="1:9" x14ac:dyDescent="0.25">
      <c r="A39" s="5">
        <f>15/31</f>
        <v>0.4838709677419355</v>
      </c>
      <c r="B39" s="31" t="s">
        <v>12</v>
      </c>
      <c r="C39" s="32"/>
      <c r="D39" s="13">
        <v>0</v>
      </c>
      <c r="E39" s="13">
        <v>4</v>
      </c>
      <c r="F39" s="13">
        <v>1</v>
      </c>
      <c r="G39" s="13">
        <v>6</v>
      </c>
      <c r="H39" s="13">
        <v>4</v>
      </c>
      <c r="I39" s="13">
        <v>16</v>
      </c>
    </row>
    <row r="40" spans="1:9" x14ac:dyDescent="0.25">
      <c r="A40" s="5">
        <f>14/28</f>
        <v>0.5</v>
      </c>
      <c r="B40" s="31" t="s">
        <v>13</v>
      </c>
      <c r="C40" s="32"/>
      <c r="D40" s="13">
        <v>1</v>
      </c>
      <c r="E40" s="13">
        <v>0</v>
      </c>
      <c r="F40" s="13">
        <v>0</v>
      </c>
      <c r="G40" s="13">
        <v>2</v>
      </c>
      <c r="H40" s="13">
        <v>11</v>
      </c>
      <c r="I40" s="13">
        <v>14</v>
      </c>
    </row>
    <row r="41" spans="1:9" x14ac:dyDescent="0.25">
      <c r="A41" s="5">
        <f>9/30</f>
        <v>0.3</v>
      </c>
      <c r="B41" s="31" t="s">
        <v>14</v>
      </c>
      <c r="C41" s="32"/>
      <c r="D41" s="13">
        <v>0</v>
      </c>
      <c r="E41" s="13">
        <v>1</v>
      </c>
      <c r="F41" s="13">
        <v>1</v>
      </c>
      <c r="G41" s="13">
        <v>2</v>
      </c>
      <c r="H41" s="13">
        <v>5</v>
      </c>
      <c r="I41" s="13">
        <v>21</v>
      </c>
    </row>
    <row r="42" spans="1:9" ht="15" customHeight="1" x14ac:dyDescent="0.25">
      <c r="A42" s="5">
        <f>11/20</f>
        <v>0.55000000000000004</v>
      </c>
      <c r="B42" s="31" t="s">
        <v>15</v>
      </c>
      <c r="C42" s="32"/>
      <c r="D42" s="13">
        <v>0</v>
      </c>
      <c r="E42" s="13">
        <v>1</v>
      </c>
      <c r="F42" s="13">
        <v>0</v>
      </c>
      <c r="G42" s="13">
        <v>2</v>
      </c>
      <c r="H42" s="13">
        <v>8</v>
      </c>
      <c r="I42" s="13">
        <v>9</v>
      </c>
    </row>
    <row r="43" spans="1:9" x14ac:dyDescent="0.25">
      <c r="A43" s="5">
        <f>23/89</f>
        <v>0.25842696629213485</v>
      </c>
      <c r="B43" s="31" t="s">
        <v>16</v>
      </c>
      <c r="C43" s="32"/>
      <c r="D43" s="13">
        <v>1</v>
      </c>
      <c r="E43" s="13">
        <v>1</v>
      </c>
      <c r="F43" s="13">
        <v>5</v>
      </c>
      <c r="G43" s="13">
        <v>5</v>
      </c>
      <c r="H43" s="13">
        <v>11</v>
      </c>
      <c r="I43" s="13">
        <v>66</v>
      </c>
    </row>
    <row r="44" spans="1:9" x14ac:dyDescent="0.25">
      <c r="A44" s="5">
        <f>20/49</f>
        <v>0.40816326530612246</v>
      </c>
      <c r="B44" s="31" t="s">
        <v>17</v>
      </c>
      <c r="C44" s="32"/>
      <c r="D44" s="13">
        <v>3</v>
      </c>
      <c r="E44" s="13">
        <v>0</v>
      </c>
      <c r="F44" s="13">
        <v>0</v>
      </c>
      <c r="G44" s="13">
        <v>7</v>
      </c>
      <c r="H44" s="13">
        <v>10</v>
      </c>
      <c r="I44" s="13">
        <v>29</v>
      </c>
    </row>
    <row r="45" spans="1:9" x14ac:dyDescent="0.25">
      <c r="A45" s="5">
        <f>3/13</f>
        <v>0.23076923076923078</v>
      </c>
      <c r="B45" s="31" t="s">
        <v>18</v>
      </c>
      <c r="C45" s="32"/>
      <c r="D45" s="13">
        <v>0</v>
      </c>
      <c r="E45" s="13">
        <v>0</v>
      </c>
      <c r="F45" s="13">
        <v>0</v>
      </c>
      <c r="G45" s="13">
        <v>0</v>
      </c>
      <c r="H45" s="13">
        <v>3</v>
      </c>
      <c r="I45" s="13">
        <v>10</v>
      </c>
    </row>
    <row r="46" spans="1:9" x14ac:dyDescent="0.25">
      <c r="A46" s="5">
        <f>11/38</f>
        <v>0.28947368421052633</v>
      </c>
      <c r="B46" s="31" t="s">
        <v>19</v>
      </c>
      <c r="C46" s="32"/>
      <c r="D46" s="13">
        <v>0</v>
      </c>
      <c r="E46" s="13">
        <v>0</v>
      </c>
      <c r="F46" s="13">
        <v>0</v>
      </c>
      <c r="G46" s="13">
        <v>1</v>
      </c>
      <c r="H46" s="13">
        <v>10</v>
      </c>
      <c r="I46" s="13">
        <v>27</v>
      </c>
    </row>
    <row r="47" spans="1:9" x14ac:dyDescent="0.25">
      <c r="A47" s="5">
        <f>6/23</f>
        <v>0.2608695652173913</v>
      </c>
      <c r="B47" s="31" t="s">
        <v>20</v>
      </c>
      <c r="C47" s="32"/>
      <c r="D47" s="13">
        <v>0</v>
      </c>
      <c r="E47" s="13">
        <v>0</v>
      </c>
      <c r="F47" s="13">
        <v>1</v>
      </c>
      <c r="G47" s="13">
        <v>0</v>
      </c>
      <c r="H47" s="13">
        <v>5</v>
      </c>
      <c r="I47" s="13">
        <v>17</v>
      </c>
    </row>
    <row r="48" spans="1:9" x14ac:dyDescent="0.25">
      <c r="A48" s="5">
        <f>9/37</f>
        <v>0.24324324324324326</v>
      </c>
      <c r="B48" s="31" t="s">
        <v>21</v>
      </c>
      <c r="C48" s="32"/>
      <c r="D48" s="13">
        <v>1</v>
      </c>
      <c r="E48" s="13">
        <v>0</v>
      </c>
      <c r="F48" s="13">
        <v>0</v>
      </c>
      <c r="G48" s="13">
        <v>1</v>
      </c>
      <c r="H48" s="13">
        <v>7</v>
      </c>
      <c r="I48" s="13">
        <v>28</v>
      </c>
    </row>
    <row r="49" spans="1:10" x14ac:dyDescent="0.25">
      <c r="A49" s="5">
        <f>14/50</f>
        <v>0.28000000000000003</v>
      </c>
      <c r="B49" s="31" t="s">
        <v>22</v>
      </c>
      <c r="C49" s="32"/>
      <c r="D49" s="13">
        <v>0</v>
      </c>
      <c r="E49" s="13">
        <v>0</v>
      </c>
      <c r="F49" s="13">
        <v>3</v>
      </c>
      <c r="G49" s="13">
        <v>4</v>
      </c>
      <c r="H49" s="13">
        <v>7</v>
      </c>
      <c r="I49" s="13">
        <v>36</v>
      </c>
    </row>
    <row r="50" spans="1:10" x14ac:dyDescent="0.25">
      <c r="A50" s="5">
        <f>11/39</f>
        <v>0.28205128205128205</v>
      </c>
      <c r="B50" s="31" t="s">
        <v>23</v>
      </c>
      <c r="C50" s="32"/>
      <c r="D50" s="13">
        <v>1</v>
      </c>
      <c r="E50" s="13">
        <v>1</v>
      </c>
      <c r="F50" s="13">
        <v>2</v>
      </c>
      <c r="G50" s="13">
        <v>1</v>
      </c>
      <c r="H50" s="13">
        <v>6</v>
      </c>
      <c r="I50" s="13">
        <v>28</v>
      </c>
    </row>
    <row r="51" spans="1:10" x14ac:dyDescent="0.25">
      <c r="A51" s="5">
        <f>5/21</f>
        <v>0.23809523809523808</v>
      </c>
      <c r="B51" s="31" t="s">
        <v>24</v>
      </c>
      <c r="C51" s="32"/>
      <c r="D51" s="13">
        <v>0</v>
      </c>
      <c r="E51" s="13">
        <v>0</v>
      </c>
      <c r="F51" s="13">
        <v>1</v>
      </c>
      <c r="G51" s="13">
        <v>0</v>
      </c>
      <c r="H51" s="13">
        <v>4</v>
      </c>
      <c r="I51" s="13">
        <v>16</v>
      </c>
    </row>
    <row r="52" spans="1:10" x14ac:dyDescent="0.25">
      <c r="A52" s="5">
        <f>24/68</f>
        <v>0.35294117647058826</v>
      </c>
      <c r="B52" s="31" t="s">
        <v>25</v>
      </c>
      <c r="C52" s="32"/>
      <c r="D52" s="13">
        <v>1</v>
      </c>
      <c r="E52" s="13">
        <v>0</v>
      </c>
      <c r="F52" s="13">
        <v>4</v>
      </c>
      <c r="G52" s="13">
        <v>6</v>
      </c>
      <c r="H52" s="13">
        <v>13</v>
      </c>
      <c r="I52" s="13">
        <v>44</v>
      </c>
    </row>
    <row r="53" spans="1:10" x14ac:dyDescent="0.25">
      <c r="A53" s="5">
        <f>9/20</f>
        <v>0.45</v>
      </c>
      <c r="B53" s="31" t="s">
        <v>26</v>
      </c>
      <c r="C53" s="32"/>
      <c r="D53" s="13">
        <v>1</v>
      </c>
      <c r="E53" s="13">
        <v>0</v>
      </c>
      <c r="F53" s="13">
        <v>1</v>
      </c>
      <c r="G53" s="13">
        <v>2</v>
      </c>
      <c r="H53" s="13">
        <v>5</v>
      </c>
      <c r="I53" s="13">
        <v>11</v>
      </c>
    </row>
    <row r="54" spans="1:10" x14ac:dyDescent="0.25">
      <c r="B54" s="21" t="s">
        <v>9</v>
      </c>
      <c r="C54" s="22"/>
      <c r="D54" s="4">
        <f>SUM(D37:D53)</f>
        <v>10</v>
      </c>
      <c r="E54" s="4">
        <f t="shared" ref="E54:I54" si="0">SUM(E37:E53)</f>
        <v>11</v>
      </c>
      <c r="F54" s="4">
        <f t="shared" si="0"/>
        <v>27</v>
      </c>
      <c r="G54" s="4">
        <f t="shared" si="0"/>
        <v>44</v>
      </c>
      <c r="H54" s="4">
        <f t="shared" si="0"/>
        <v>119</v>
      </c>
      <c r="I54" s="4">
        <f t="shared" si="0"/>
        <v>439</v>
      </c>
      <c r="J54" s="7">
        <f>D54+E54+F54+G54+H54+I54</f>
        <v>650</v>
      </c>
    </row>
  </sheetData>
  <mergeCells count="23">
    <mergeCell ref="B37:C37"/>
    <mergeCell ref="B1:J3"/>
    <mergeCell ref="C4:I4"/>
    <mergeCell ref="C27:I27"/>
    <mergeCell ref="A34:I34"/>
    <mergeCell ref="B36:C36"/>
    <mergeCell ref="B49:C49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50:C50"/>
    <mergeCell ref="B51:C51"/>
    <mergeCell ref="B52:C52"/>
    <mergeCell ref="B53:C53"/>
    <mergeCell ref="B54:C54"/>
  </mergeCells>
  <pageMargins left="0.51181102362204722" right="0.51181102362204722" top="0.78740157480314965" bottom="0.78740157480314965" header="0.31496062992125984" footer="0.31496062992125984"/>
  <pageSetup paperSize="9" scale="68" orientation="portrait" r:id="rId1"/>
  <headerFooter>
    <oddHeader xml:space="preserve">&amp;L 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4"/>
  <sheetViews>
    <sheetView view="pageLayout" topLeftCell="A22" workbookViewId="0">
      <selection activeCell="J66" sqref="J66"/>
    </sheetView>
  </sheetViews>
  <sheetFormatPr defaultRowHeight="15" x14ac:dyDescent="0.25"/>
  <cols>
    <col min="2" max="2" width="8.7109375" customWidth="1"/>
    <col min="3" max="3" width="11.85546875" customWidth="1"/>
    <col min="4" max="9" width="15.7109375" customWidth="1"/>
  </cols>
  <sheetData>
    <row r="1" spans="2:10" x14ac:dyDescent="0.25">
      <c r="B1" s="23" t="s">
        <v>43</v>
      </c>
      <c r="C1" s="23"/>
      <c r="D1" s="23"/>
      <c r="E1" s="23"/>
      <c r="F1" s="23"/>
      <c r="G1" s="23"/>
      <c r="H1" s="23"/>
      <c r="I1" s="23"/>
      <c r="J1" s="23"/>
    </row>
    <row r="2" spans="2:10" x14ac:dyDescent="0.25">
      <c r="B2" s="23"/>
      <c r="C2" s="23"/>
      <c r="D2" s="23"/>
      <c r="E2" s="23"/>
      <c r="F2" s="23"/>
      <c r="G2" s="23"/>
      <c r="H2" s="23"/>
      <c r="I2" s="23"/>
      <c r="J2" s="23"/>
    </row>
    <row r="3" spans="2:10" x14ac:dyDescent="0.25">
      <c r="B3" s="23"/>
      <c r="C3" s="23"/>
      <c r="D3" s="23"/>
      <c r="E3" s="23"/>
      <c r="F3" s="23"/>
      <c r="G3" s="23"/>
      <c r="H3" s="23"/>
      <c r="I3" s="23"/>
      <c r="J3" s="23"/>
    </row>
    <row r="4" spans="2:10" ht="30" customHeight="1" x14ac:dyDescent="0.4">
      <c r="C4" s="24" t="s">
        <v>35</v>
      </c>
      <c r="D4" s="24"/>
      <c r="E4" s="24"/>
      <c r="F4" s="24"/>
      <c r="G4" s="24"/>
      <c r="H4" s="24"/>
      <c r="I4" s="24"/>
    </row>
    <row r="27" spans="3:10" ht="18" x14ac:dyDescent="0.25">
      <c r="C27" s="25" t="s">
        <v>36</v>
      </c>
      <c r="D27" s="26"/>
      <c r="E27" s="26"/>
      <c r="F27" s="26"/>
      <c r="G27" s="26"/>
      <c r="H27" s="26"/>
      <c r="I27" s="27"/>
    </row>
    <row r="28" spans="3:10" ht="15.75" x14ac:dyDescent="0.25">
      <c r="C28" s="1" t="s">
        <v>7</v>
      </c>
      <c r="D28" s="2" t="s">
        <v>6</v>
      </c>
      <c r="E28" s="2" t="s">
        <v>0</v>
      </c>
      <c r="F28" s="2" t="s">
        <v>1</v>
      </c>
      <c r="G28" s="2" t="s">
        <v>2</v>
      </c>
      <c r="H28" s="2" t="s">
        <v>3</v>
      </c>
      <c r="I28" s="2" t="s">
        <v>4</v>
      </c>
    </row>
    <row r="29" spans="3:10" ht="15.75" x14ac:dyDescent="0.25">
      <c r="C29" s="3" t="s">
        <v>41</v>
      </c>
      <c r="D29" s="8">
        <f>8/662</f>
        <v>1.2084592145015106E-2</v>
      </c>
      <c r="E29" s="8">
        <f>4/662</f>
        <v>6.0422960725075529E-3</v>
      </c>
      <c r="F29" s="8">
        <f>7/662</f>
        <v>1.0574018126888218E-2</v>
      </c>
      <c r="G29" s="8">
        <f>27/662</f>
        <v>4.0785498489425982E-2</v>
      </c>
      <c r="H29" s="8">
        <f>75/662</f>
        <v>0.11329305135951662</v>
      </c>
      <c r="I29" s="8">
        <f>541/662</f>
        <v>0.81722054380664655</v>
      </c>
    </row>
    <row r="30" spans="3:10" ht="15.75" x14ac:dyDescent="0.25">
      <c r="C30" s="3" t="s">
        <v>5</v>
      </c>
      <c r="D30" s="4">
        <v>8</v>
      </c>
      <c r="E30" s="4">
        <v>4</v>
      </c>
      <c r="F30" s="4">
        <v>7</v>
      </c>
      <c r="G30" s="4">
        <v>27</v>
      </c>
      <c r="H30" s="4">
        <v>75</v>
      </c>
      <c r="I30" s="4">
        <v>541</v>
      </c>
      <c r="J30" s="9">
        <f>SUM(D30:I30)</f>
        <v>662</v>
      </c>
    </row>
    <row r="32" spans="3:10" x14ac:dyDescent="0.25">
      <c r="C32" t="s">
        <v>47</v>
      </c>
      <c r="D32" s="16"/>
      <c r="E32" s="15"/>
      <c r="F32" s="16"/>
      <c r="G32" s="16"/>
      <c r="H32" s="16"/>
    </row>
    <row r="34" spans="1:9" ht="26.25" x14ac:dyDescent="0.4">
      <c r="A34" s="28" t="s">
        <v>37</v>
      </c>
      <c r="B34" s="28"/>
      <c r="C34" s="28"/>
      <c r="D34" s="28"/>
      <c r="E34" s="28"/>
      <c r="F34" s="28"/>
      <c r="G34" s="28"/>
      <c r="H34" s="28"/>
      <c r="I34" s="28"/>
    </row>
    <row r="36" spans="1:9" x14ac:dyDescent="0.25">
      <c r="B36" s="29" t="s">
        <v>8</v>
      </c>
      <c r="C36" s="30"/>
      <c r="D36" s="2" t="s">
        <v>6</v>
      </c>
      <c r="E36" s="2" t="s">
        <v>0</v>
      </c>
      <c r="F36" s="2" t="s">
        <v>1</v>
      </c>
      <c r="G36" s="2" t="s">
        <v>2</v>
      </c>
      <c r="H36" s="2" t="s">
        <v>3</v>
      </c>
      <c r="I36" s="2" t="s">
        <v>4</v>
      </c>
    </row>
    <row r="37" spans="1:9" x14ac:dyDescent="0.25">
      <c r="A37" s="5">
        <f>4/28</f>
        <v>0.14285714285714285</v>
      </c>
      <c r="B37" s="31" t="s">
        <v>10</v>
      </c>
      <c r="C37" s="32"/>
      <c r="D37" s="13">
        <v>0</v>
      </c>
      <c r="E37" s="13">
        <v>0</v>
      </c>
      <c r="F37" s="13">
        <v>1</v>
      </c>
      <c r="G37" s="13">
        <v>0</v>
      </c>
      <c r="H37" s="13">
        <v>3</v>
      </c>
      <c r="I37" s="13">
        <v>24</v>
      </c>
    </row>
    <row r="38" spans="1:9" x14ac:dyDescent="0.25">
      <c r="A38" s="5">
        <f>12/57</f>
        <v>0.21052631578947367</v>
      </c>
      <c r="B38" s="31" t="s">
        <v>11</v>
      </c>
      <c r="C38" s="32"/>
      <c r="D38" s="13">
        <v>1</v>
      </c>
      <c r="E38" s="13">
        <v>0</v>
      </c>
      <c r="F38" s="13">
        <v>0</v>
      </c>
      <c r="G38" s="13">
        <v>2</v>
      </c>
      <c r="H38" s="13">
        <v>9</v>
      </c>
      <c r="I38" s="13">
        <v>45</v>
      </c>
    </row>
    <row r="39" spans="1:9" x14ac:dyDescent="0.25">
      <c r="A39" s="5">
        <f>1/34</f>
        <v>2.9411764705882353E-2</v>
      </c>
      <c r="B39" s="31" t="s">
        <v>12</v>
      </c>
      <c r="C39" s="32"/>
      <c r="D39" s="13">
        <v>0</v>
      </c>
      <c r="E39" s="13">
        <v>0</v>
      </c>
      <c r="F39" s="13">
        <v>0</v>
      </c>
      <c r="G39" s="13">
        <v>0</v>
      </c>
      <c r="H39" s="13">
        <v>1</v>
      </c>
      <c r="I39" s="13">
        <v>33</v>
      </c>
    </row>
    <row r="40" spans="1:9" x14ac:dyDescent="0.25">
      <c r="A40" s="5">
        <f>2/31</f>
        <v>6.4516129032258063E-2</v>
      </c>
      <c r="B40" s="31" t="s">
        <v>13</v>
      </c>
      <c r="C40" s="32"/>
      <c r="D40" s="13">
        <v>0</v>
      </c>
      <c r="E40" s="13">
        <v>0</v>
      </c>
      <c r="F40" s="13">
        <v>0</v>
      </c>
      <c r="G40" s="13">
        <v>1</v>
      </c>
      <c r="H40" s="13">
        <v>1</v>
      </c>
      <c r="I40" s="13">
        <v>29</v>
      </c>
    </row>
    <row r="41" spans="1:9" x14ac:dyDescent="0.25">
      <c r="A41" s="5">
        <f>7/33</f>
        <v>0.21212121212121213</v>
      </c>
      <c r="B41" s="31" t="s">
        <v>14</v>
      </c>
      <c r="C41" s="32"/>
      <c r="D41" s="13">
        <v>0</v>
      </c>
      <c r="E41" s="13">
        <v>0</v>
      </c>
      <c r="F41" s="13">
        <v>0</v>
      </c>
      <c r="G41" s="13">
        <v>1</v>
      </c>
      <c r="H41" s="13">
        <v>6</v>
      </c>
      <c r="I41" s="13">
        <v>26</v>
      </c>
    </row>
    <row r="42" spans="1:9" ht="15" customHeight="1" x14ac:dyDescent="0.25">
      <c r="A42" s="5">
        <f>10/32</f>
        <v>0.3125</v>
      </c>
      <c r="B42" s="31" t="s">
        <v>15</v>
      </c>
      <c r="C42" s="32"/>
      <c r="D42" s="13">
        <v>0</v>
      </c>
      <c r="E42" s="13">
        <v>2</v>
      </c>
      <c r="F42" s="13">
        <v>0</v>
      </c>
      <c r="G42" s="13">
        <v>5</v>
      </c>
      <c r="H42" s="13">
        <v>3</v>
      </c>
      <c r="I42" s="13">
        <v>22</v>
      </c>
    </row>
    <row r="43" spans="1:9" x14ac:dyDescent="0.25">
      <c r="A43" s="5">
        <f>20/76</f>
        <v>0.26315789473684209</v>
      </c>
      <c r="B43" s="31" t="s">
        <v>16</v>
      </c>
      <c r="C43" s="32"/>
      <c r="D43" s="13">
        <v>0</v>
      </c>
      <c r="E43" s="13">
        <v>0</v>
      </c>
      <c r="F43" s="13">
        <v>3</v>
      </c>
      <c r="G43" s="13">
        <v>7</v>
      </c>
      <c r="H43" s="13">
        <v>10</v>
      </c>
      <c r="I43" s="13">
        <v>56</v>
      </c>
    </row>
    <row r="44" spans="1:9" x14ac:dyDescent="0.25">
      <c r="A44" s="5">
        <f>5/37</f>
        <v>0.13513513513513514</v>
      </c>
      <c r="B44" s="31" t="s">
        <v>17</v>
      </c>
      <c r="C44" s="32"/>
      <c r="D44" s="13">
        <v>1</v>
      </c>
      <c r="E44" s="13">
        <v>0</v>
      </c>
      <c r="F44" s="13">
        <v>1</v>
      </c>
      <c r="G44" s="13">
        <v>1</v>
      </c>
      <c r="H44" s="13">
        <v>2</v>
      </c>
      <c r="I44" s="13">
        <v>32</v>
      </c>
    </row>
    <row r="45" spans="1:9" x14ac:dyDescent="0.25">
      <c r="A45" s="5">
        <f>8/24</f>
        <v>0.33333333333333331</v>
      </c>
      <c r="B45" s="31" t="s">
        <v>18</v>
      </c>
      <c r="C45" s="32"/>
      <c r="D45" s="13">
        <v>0</v>
      </c>
      <c r="E45" s="13">
        <v>0</v>
      </c>
      <c r="F45" s="13">
        <v>0</v>
      </c>
      <c r="G45" s="13">
        <v>0</v>
      </c>
      <c r="H45" s="13">
        <v>8</v>
      </c>
      <c r="I45" s="13">
        <v>16</v>
      </c>
    </row>
    <row r="46" spans="1:9" x14ac:dyDescent="0.25">
      <c r="A46" s="5">
        <f>4/48</f>
        <v>8.3333333333333329E-2</v>
      </c>
      <c r="B46" s="31" t="s">
        <v>19</v>
      </c>
      <c r="C46" s="32"/>
      <c r="D46" s="13">
        <v>1</v>
      </c>
      <c r="E46" s="13">
        <v>0</v>
      </c>
      <c r="F46" s="13">
        <v>0</v>
      </c>
      <c r="G46" s="13">
        <v>2</v>
      </c>
      <c r="H46" s="13">
        <v>1</v>
      </c>
      <c r="I46" s="13">
        <v>44</v>
      </c>
    </row>
    <row r="47" spans="1:9" x14ac:dyDescent="0.25">
      <c r="A47" s="5">
        <f>0/19</f>
        <v>0</v>
      </c>
      <c r="B47" s="31" t="s">
        <v>20</v>
      </c>
      <c r="C47" s="32"/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19</v>
      </c>
    </row>
    <row r="48" spans="1:9" x14ac:dyDescent="0.25">
      <c r="A48" s="5">
        <f>2/32</f>
        <v>6.25E-2</v>
      </c>
      <c r="B48" s="31" t="s">
        <v>21</v>
      </c>
      <c r="C48" s="32"/>
      <c r="D48" s="13">
        <v>1</v>
      </c>
      <c r="E48" s="13">
        <v>1</v>
      </c>
      <c r="F48" s="13">
        <v>0</v>
      </c>
      <c r="G48" s="13">
        <v>0</v>
      </c>
      <c r="H48" s="13">
        <v>0</v>
      </c>
      <c r="I48" s="13">
        <v>30</v>
      </c>
    </row>
    <row r="49" spans="1:9" x14ac:dyDescent="0.25">
      <c r="A49" s="5">
        <f>12/53</f>
        <v>0.22641509433962265</v>
      </c>
      <c r="B49" s="31" t="s">
        <v>22</v>
      </c>
      <c r="C49" s="32"/>
      <c r="D49" s="13">
        <v>2</v>
      </c>
      <c r="E49" s="13">
        <v>0</v>
      </c>
      <c r="F49" s="13">
        <v>0</v>
      </c>
      <c r="G49" s="13">
        <v>4</v>
      </c>
      <c r="H49" s="13">
        <v>6</v>
      </c>
      <c r="I49" s="13">
        <v>41</v>
      </c>
    </row>
    <row r="50" spans="1:9" x14ac:dyDescent="0.25">
      <c r="A50" s="5">
        <f>13/47</f>
        <v>0.27659574468085107</v>
      </c>
      <c r="B50" s="31" t="s">
        <v>23</v>
      </c>
      <c r="C50" s="32"/>
      <c r="D50" s="13">
        <v>1</v>
      </c>
      <c r="E50" s="13">
        <v>0</v>
      </c>
      <c r="F50" s="13">
        <v>0</v>
      </c>
      <c r="G50" s="13">
        <v>3</v>
      </c>
      <c r="H50" s="13">
        <v>9</v>
      </c>
      <c r="I50" s="13">
        <v>34</v>
      </c>
    </row>
    <row r="51" spans="1:9" x14ac:dyDescent="0.25">
      <c r="A51" s="5">
        <f>9/26</f>
        <v>0.34615384615384615</v>
      </c>
      <c r="B51" s="31" t="s">
        <v>24</v>
      </c>
      <c r="C51" s="32"/>
      <c r="D51" s="13">
        <v>0</v>
      </c>
      <c r="E51" s="13">
        <v>0</v>
      </c>
      <c r="F51" s="13">
        <v>0</v>
      </c>
      <c r="G51" s="13">
        <v>1</v>
      </c>
      <c r="H51" s="13">
        <v>8</v>
      </c>
      <c r="I51" s="13">
        <v>17</v>
      </c>
    </row>
    <row r="52" spans="1:9" x14ac:dyDescent="0.25">
      <c r="A52" s="5">
        <f>11/63</f>
        <v>0.17460317460317459</v>
      </c>
      <c r="B52" s="31" t="s">
        <v>25</v>
      </c>
      <c r="C52" s="32"/>
      <c r="D52" s="13">
        <v>1</v>
      </c>
      <c r="E52" s="13">
        <v>1</v>
      </c>
      <c r="F52" s="13">
        <v>1</v>
      </c>
      <c r="G52" s="13">
        <v>0</v>
      </c>
      <c r="H52" s="13">
        <v>8</v>
      </c>
      <c r="I52" s="13">
        <v>52</v>
      </c>
    </row>
    <row r="53" spans="1:9" x14ac:dyDescent="0.25">
      <c r="A53" s="5">
        <f>1/22</f>
        <v>4.5454545454545456E-2</v>
      </c>
      <c r="B53" s="31" t="s">
        <v>26</v>
      </c>
      <c r="C53" s="32"/>
      <c r="D53" s="13">
        <v>0</v>
      </c>
      <c r="E53" s="13">
        <v>0</v>
      </c>
      <c r="F53" s="13">
        <v>1</v>
      </c>
      <c r="G53" s="13">
        <v>0</v>
      </c>
      <c r="H53" s="13">
        <v>0</v>
      </c>
      <c r="I53" s="13">
        <v>21</v>
      </c>
    </row>
    <row r="54" spans="1:9" x14ac:dyDescent="0.25">
      <c r="B54" s="21" t="s">
        <v>9</v>
      </c>
      <c r="C54" s="22"/>
      <c r="D54" s="4">
        <f t="shared" ref="D54:I54" si="0">SUM(D37:D53)</f>
        <v>8</v>
      </c>
      <c r="E54" s="11">
        <f t="shared" si="0"/>
        <v>4</v>
      </c>
      <c r="F54" s="4">
        <f t="shared" si="0"/>
        <v>7</v>
      </c>
      <c r="G54" s="11">
        <f t="shared" si="0"/>
        <v>27</v>
      </c>
      <c r="H54" s="4">
        <f t="shared" si="0"/>
        <v>75</v>
      </c>
      <c r="I54" s="4">
        <f t="shared" si="0"/>
        <v>541</v>
      </c>
    </row>
  </sheetData>
  <mergeCells count="23">
    <mergeCell ref="B37:C37"/>
    <mergeCell ref="B1:J3"/>
    <mergeCell ref="C4:I4"/>
    <mergeCell ref="C27:I27"/>
    <mergeCell ref="A34:I34"/>
    <mergeCell ref="B36:C36"/>
    <mergeCell ref="B49:C49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50:C50"/>
    <mergeCell ref="B51:C51"/>
    <mergeCell ref="B52:C52"/>
    <mergeCell ref="B53:C53"/>
    <mergeCell ref="B54:C54"/>
  </mergeCells>
  <pageMargins left="0.51181102362204722" right="0.51181102362204722" top="0.78740157480314965" bottom="0.78740157480314965" header="0.31496062992125984" footer="0.31496062992125984"/>
  <pageSetup paperSize="9" scale="67" orientation="portrait" horizontalDpi="360" verticalDpi="360" r:id="rId1"/>
  <headerFooter>
    <oddHeader xml:space="preserve">&amp;L </oddHead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4"/>
  <sheetViews>
    <sheetView view="pageLayout" topLeftCell="A25" workbookViewId="0">
      <selection activeCell="K71" sqref="K71"/>
    </sheetView>
  </sheetViews>
  <sheetFormatPr defaultRowHeight="15" x14ac:dyDescent="0.25"/>
  <cols>
    <col min="2" max="2" width="8.7109375" customWidth="1"/>
    <col min="3" max="3" width="12" customWidth="1"/>
    <col min="4" max="9" width="15.7109375" customWidth="1"/>
  </cols>
  <sheetData>
    <row r="1" spans="2:10" x14ac:dyDescent="0.25">
      <c r="B1" s="23" t="s">
        <v>43</v>
      </c>
      <c r="C1" s="23"/>
      <c r="D1" s="23"/>
      <c r="E1" s="23"/>
      <c r="F1" s="23"/>
      <c r="G1" s="23"/>
      <c r="H1" s="23"/>
      <c r="I1" s="23"/>
      <c r="J1" s="23"/>
    </row>
    <row r="2" spans="2:10" x14ac:dyDescent="0.25">
      <c r="B2" s="23"/>
      <c r="C2" s="23"/>
      <c r="D2" s="23"/>
      <c r="E2" s="23"/>
      <c r="F2" s="23"/>
      <c r="G2" s="23"/>
      <c r="H2" s="23"/>
      <c r="I2" s="23"/>
      <c r="J2" s="23"/>
    </row>
    <row r="3" spans="2:10" x14ac:dyDescent="0.25">
      <c r="B3" s="23"/>
      <c r="C3" s="23"/>
      <c r="D3" s="23"/>
      <c r="E3" s="23"/>
      <c r="F3" s="23"/>
      <c r="G3" s="23"/>
      <c r="H3" s="23"/>
      <c r="I3" s="23"/>
      <c r="J3" s="23"/>
    </row>
    <row r="4" spans="2:10" ht="30" customHeight="1" x14ac:dyDescent="0.4">
      <c r="C4" s="24" t="s">
        <v>38</v>
      </c>
      <c r="D4" s="24"/>
      <c r="E4" s="24"/>
      <c r="F4" s="24"/>
      <c r="G4" s="24"/>
      <c r="H4" s="24"/>
      <c r="I4" s="24"/>
    </row>
    <row r="27" spans="3:10" ht="18" x14ac:dyDescent="0.25">
      <c r="C27" s="25" t="s">
        <v>39</v>
      </c>
      <c r="D27" s="26"/>
      <c r="E27" s="26"/>
      <c r="F27" s="26"/>
      <c r="G27" s="26"/>
      <c r="H27" s="26"/>
      <c r="I27" s="27"/>
    </row>
    <row r="28" spans="3:10" ht="15.75" x14ac:dyDescent="0.25">
      <c r="C28" s="1" t="s">
        <v>7</v>
      </c>
      <c r="D28" s="2" t="s">
        <v>6</v>
      </c>
      <c r="E28" s="2" t="s">
        <v>0</v>
      </c>
      <c r="F28" s="2" t="s">
        <v>1</v>
      </c>
      <c r="G28" s="2" t="s">
        <v>2</v>
      </c>
      <c r="H28" s="2" t="s">
        <v>3</v>
      </c>
      <c r="I28" s="2" t="s">
        <v>4</v>
      </c>
    </row>
    <row r="29" spans="3:10" ht="15.75" x14ac:dyDescent="0.25">
      <c r="C29" s="3" t="s">
        <v>41</v>
      </c>
      <c r="D29" s="8">
        <f>2/638</f>
        <v>3.134796238244514E-3</v>
      </c>
      <c r="E29" s="8">
        <f>0/638</f>
        <v>0</v>
      </c>
      <c r="F29" s="8">
        <f>6/638</f>
        <v>9.4043887147335428E-3</v>
      </c>
      <c r="G29" s="8">
        <f>9/638</f>
        <v>1.4106583072100314E-2</v>
      </c>
      <c r="H29" s="8">
        <f>39/638</f>
        <v>6.1128526645768025E-2</v>
      </c>
      <c r="I29" s="8">
        <f>582/638</f>
        <v>0.91222570532915359</v>
      </c>
    </row>
    <row r="30" spans="3:10" ht="15.75" x14ac:dyDescent="0.25">
      <c r="C30" s="3" t="s">
        <v>5</v>
      </c>
      <c r="D30" s="4">
        <v>2</v>
      </c>
      <c r="E30" s="4">
        <v>0</v>
      </c>
      <c r="F30" s="4">
        <v>6</v>
      </c>
      <c r="G30" s="4">
        <v>9</v>
      </c>
      <c r="H30" s="4">
        <v>39</v>
      </c>
      <c r="I30" s="4">
        <v>582</v>
      </c>
      <c r="J30" s="9">
        <f>SUM(D30:I30)</f>
        <v>638</v>
      </c>
    </row>
    <row r="32" spans="3:10" x14ac:dyDescent="0.25">
      <c r="C32" t="s">
        <v>48</v>
      </c>
      <c r="D32" s="16"/>
      <c r="E32" s="15"/>
      <c r="F32" s="16"/>
      <c r="G32" s="16"/>
      <c r="H32" s="16"/>
    </row>
    <row r="34" spans="1:9" ht="26.25" x14ac:dyDescent="0.4">
      <c r="A34" s="28" t="s">
        <v>40</v>
      </c>
      <c r="B34" s="28"/>
      <c r="C34" s="28"/>
      <c r="D34" s="28"/>
      <c r="E34" s="28"/>
      <c r="F34" s="28"/>
      <c r="G34" s="28"/>
      <c r="H34" s="28"/>
      <c r="I34" s="28"/>
    </row>
    <row r="36" spans="1:9" x14ac:dyDescent="0.25">
      <c r="B36" s="29" t="s">
        <v>8</v>
      </c>
      <c r="C36" s="30"/>
      <c r="D36" s="2" t="s">
        <v>6</v>
      </c>
      <c r="E36" s="2" t="s">
        <v>0</v>
      </c>
      <c r="F36" s="2" t="s">
        <v>1</v>
      </c>
      <c r="G36" s="2" t="s">
        <v>2</v>
      </c>
      <c r="H36" s="2" t="s">
        <v>3</v>
      </c>
      <c r="I36" s="2" t="s">
        <v>4</v>
      </c>
    </row>
    <row r="37" spans="1:9" x14ac:dyDescent="0.25">
      <c r="A37" s="5">
        <f>4/22</f>
        <v>0.18181818181818182</v>
      </c>
      <c r="B37" s="31" t="s">
        <v>10</v>
      </c>
      <c r="C37" s="32"/>
      <c r="D37" s="13">
        <v>0</v>
      </c>
      <c r="E37" s="13">
        <v>0</v>
      </c>
      <c r="F37" s="13">
        <v>0</v>
      </c>
      <c r="G37" s="13">
        <v>1</v>
      </c>
      <c r="H37" s="13">
        <v>3</v>
      </c>
      <c r="I37" s="13">
        <v>18</v>
      </c>
    </row>
    <row r="38" spans="1:9" x14ac:dyDescent="0.25">
      <c r="A38" s="5">
        <f>2/47</f>
        <v>4.2553191489361701E-2</v>
      </c>
      <c r="B38" s="31" t="s">
        <v>11</v>
      </c>
      <c r="C38" s="32"/>
      <c r="D38" s="13">
        <v>0</v>
      </c>
      <c r="E38" s="13">
        <v>0</v>
      </c>
      <c r="F38" s="13">
        <v>1</v>
      </c>
      <c r="G38" s="13">
        <v>0</v>
      </c>
      <c r="H38" s="13">
        <v>1</v>
      </c>
      <c r="I38" s="13">
        <v>45</v>
      </c>
    </row>
    <row r="39" spans="1:9" x14ac:dyDescent="0.25">
      <c r="A39" s="5">
        <f>5/33</f>
        <v>0.15151515151515152</v>
      </c>
      <c r="B39" s="31" t="s">
        <v>12</v>
      </c>
      <c r="C39" s="32"/>
      <c r="D39" s="13">
        <v>0</v>
      </c>
      <c r="E39" s="13">
        <v>0</v>
      </c>
      <c r="F39" s="13">
        <v>1</v>
      </c>
      <c r="G39" s="13">
        <v>0</v>
      </c>
      <c r="H39" s="13">
        <v>4</v>
      </c>
      <c r="I39" s="13">
        <v>28</v>
      </c>
    </row>
    <row r="40" spans="1:9" x14ac:dyDescent="0.25">
      <c r="A40" s="5">
        <f>6/50</f>
        <v>0.12</v>
      </c>
      <c r="B40" s="31" t="s">
        <v>13</v>
      </c>
      <c r="C40" s="32"/>
      <c r="D40" s="13">
        <v>0</v>
      </c>
      <c r="E40" s="13">
        <v>0</v>
      </c>
      <c r="F40" s="13">
        <v>1</v>
      </c>
      <c r="G40" s="13">
        <v>1</v>
      </c>
      <c r="H40" s="13">
        <v>4</v>
      </c>
      <c r="I40" s="13">
        <v>44</v>
      </c>
    </row>
    <row r="41" spans="1:9" x14ac:dyDescent="0.25">
      <c r="A41" s="5">
        <f>5/34</f>
        <v>0.14705882352941177</v>
      </c>
      <c r="B41" s="31" t="s">
        <v>14</v>
      </c>
      <c r="C41" s="32"/>
      <c r="D41" s="13">
        <v>0</v>
      </c>
      <c r="E41" s="13">
        <v>0</v>
      </c>
      <c r="F41" s="13">
        <v>0</v>
      </c>
      <c r="G41" s="13">
        <v>0</v>
      </c>
      <c r="H41" s="13">
        <v>5</v>
      </c>
      <c r="I41" s="13">
        <v>29</v>
      </c>
    </row>
    <row r="42" spans="1:9" ht="15" customHeight="1" x14ac:dyDescent="0.25">
      <c r="A42" s="5">
        <f>4/28</f>
        <v>0.14285714285714285</v>
      </c>
      <c r="B42" s="31" t="s">
        <v>15</v>
      </c>
      <c r="C42" s="32"/>
      <c r="D42" s="13">
        <v>0</v>
      </c>
      <c r="E42" s="13">
        <v>0</v>
      </c>
      <c r="F42" s="13">
        <v>0</v>
      </c>
      <c r="G42" s="13">
        <v>1</v>
      </c>
      <c r="H42" s="13">
        <v>3</v>
      </c>
      <c r="I42" s="13">
        <v>24</v>
      </c>
    </row>
    <row r="43" spans="1:9" x14ac:dyDescent="0.25">
      <c r="A43" s="5">
        <f>9/82</f>
        <v>0.10975609756097561</v>
      </c>
      <c r="B43" s="31" t="s">
        <v>16</v>
      </c>
      <c r="C43" s="32"/>
      <c r="D43" s="13">
        <v>2</v>
      </c>
      <c r="E43" s="13">
        <v>0</v>
      </c>
      <c r="F43" s="13">
        <v>1</v>
      </c>
      <c r="G43" s="13">
        <v>2</v>
      </c>
      <c r="H43" s="13">
        <v>4</v>
      </c>
      <c r="I43" s="13">
        <v>73</v>
      </c>
    </row>
    <row r="44" spans="1:9" x14ac:dyDescent="0.25">
      <c r="A44" s="5">
        <f>0/38</f>
        <v>0</v>
      </c>
      <c r="B44" s="31" t="s">
        <v>17</v>
      </c>
      <c r="C44" s="32"/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38</v>
      </c>
    </row>
    <row r="45" spans="1:9" x14ac:dyDescent="0.25">
      <c r="A45" s="5">
        <v>0</v>
      </c>
      <c r="B45" s="31" t="s">
        <v>18</v>
      </c>
      <c r="C45" s="32"/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17</v>
      </c>
    </row>
    <row r="46" spans="1:9" x14ac:dyDescent="0.25">
      <c r="A46" s="5">
        <f>2/42</f>
        <v>4.7619047619047616E-2</v>
      </c>
      <c r="B46" s="31" t="s">
        <v>19</v>
      </c>
      <c r="C46" s="32"/>
      <c r="D46" s="13">
        <v>0</v>
      </c>
      <c r="E46" s="13">
        <v>0</v>
      </c>
      <c r="F46" s="13">
        <v>0</v>
      </c>
      <c r="G46" s="13">
        <v>2</v>
      </c>
      <c r="H46" s="13">
        <v>0</v>
      </c>
      <c r="I46" s="18">
        <v>40</v>
      </c>
    </row>
    <row r="47" spans="1:9" x14ac:dyDescent="0.25">
      <c r="A47" s="5">
        <f>1/21</f>
        <v>4.7619047619047616E-2</v>
      </c>
      <c r="B47" s="31" t="s">
        <v>20</v>
      </c>
      <c r="C47" s="32"/>
      <c r="D47" s="13">
        <v>0</v>
      </c>
      <c r="E47" s="13">
        <v>0</v>
      </c>
      <c r="F47" s="13">
        <v>0</v>
      </c>
      <c r="G47" s="13">
        <v>0</v>
      </c>
      <c r="H47" s="13">
        <v>1</v>
      </c>
      <c r="I47" s="13">
        <v>20</v>
      </c>
    </row>
    <row r="48" spans="1:9" x14ac:dyDescent="0.25">
      <c r="A48" s="5">
        <f>3/54</f>
        <v>5.5555555555555552E-2</v>
      </c>
      <c r="B48" s="31" t="s">
        <v>21</v>
      </c>
      <c r="C48" s="32"/>
      <c r="D48" s="13">
        <v>0</v>
      </c>
      <c r="E48" s="13">
        <v>0</v>
      </c>
      <c r="F48" s="13">
        <v>0</v>
      </c>
      <c r="G48" s="13">
        <v>0</v>
      </c>
      <c r="H48" s="13">
        <v>3</v>
      </c>
      <c r="I48" s="13">
        <v>51</v>
      </c>
    </row>
    <row r="49" spans="1:10" x14ac:dyDescent="0.25">
      <c r="A49" s="5">
        <f>5/56</f>
        <v>8.9285714285714288E-2</v>
      </c>
      <c r="B49" s="31" t="s">
        <v>22</v>
      </c>
      <c r="C49" s="32"/>
      <c r="D49" s="13">
        <v>0</v>
      </c>
      <c r="E49" s="13">
        <v>0</v>
      </c>
      <c r="F49" s="13">
        <v>1</v>
      </c>
      <c r="G49" s="13">
        <v>1</v>
      </c>
      <c r="H49" s="13">
        <v>3</v>
      </c>
      <c r="I49" s="13">
        <v>51</v>
      </c>
    </row>
    <row r="50" spans="1:10" x14ac:dyDescent="0.25">
      <c r="A50" s="5">
        <f>4/34</f>
        <v>0.11764705882352941</v>
      </c>
      <c r="B50" s="31" t="s">
        <v>23</v>
      </c>
      <c r="C50" s="32"/>
      <c r="D50" s="13">
        <v>0</v>
      </c>
      <c r="E50" s="13">
        <v>0</v>
      </c>
      <c r="F50" s="13">
        <v>0</v>
      </c>
      <c r="G50" s="13">
        <v>1</v>
      </c>
      <c r="H50" s="13">
        <v>3</v>
      </c>
      <c r="I50" s="13">
        <v>30</v>
      </c>
    </row>
    <row r="51" spans="1:10" x14ac:dyDescent="0.25">
      <c r="A51" s="5">
        <f>2/22</f>
        <v>9.0909090909090912E-2</v>
      </c>
      <c r="B51" s="31" t="s">
        <v>24</v>
      </c>
      <c r="C51" s="32"/>
      <c r="D51" s="13">
        <v>0</v>
      </c>
      <c r="E51" s="13">
        <v>0</v>
      </c>
      <c r="F51" s="13">
        <v>0</v>
      </c>
      <c r="G51" s="13">
        <v>0</v>
      </c>
      <c r="H51" s="13">
        <v>2</v>
      </c>
      <c r="I51" s="13">
        <v>20</v>
      </c>
    </row>
    <row r="52" spans="1:10" x14ac:dyDescent="0.25">
      <c r="A52" s="5">
        <f>2/42</f>
        <v>4.7619047619047616E-2</v>
      </c>
      <c r="B52" s="31" t="s">
        <v>25</v>
      </c>
      <c r="C52" s="32"/>
      <c r="D52" s="13">
        <v>0</v>
      </c>
      <c r="E52" s="13">
        <v>0</v>
      </c>
      <c r="F52" s="13">
        <v>0</v>
      </c>
      <c r="G52" s="13">
        <v>0</v>
      </c>
      <c r="H52" s="13">
        <v>2</v>
      </c>
      <c r="I52" s="18">
        <v>40</v>
      </c>
      <c r="J52" s="16"/>
    </row>
    <row r="53" spans="1:10" x14ac:dyDescent="0.25">
      <c r="A53" s="5">
        <f>2/16</f>
        <v>0.125</v>
      </c>
      <c r="B53" s="31" t="s">
        <v>26</v>
      </c>
      <c r="C53" s="32"/>
      <c r="D53" s="13">
        <v>0</v>
      </c>
      <c r="E53" s="13">
        <v>0</v>
      </c>
      <c r="F53" s="13">
        <v>1</v>
      </c>
      <c r="G53" s="13">
        <v>0</v>
      </c>
      <c r="H53" s="13">
        <v>1</v>
      </c>
      <c r="I53" s="13">
        <v>14</v>
      </c>
    </row>
    <row r="54" spans="1:10" x14ac:dyDescent="0.25">
      <c r="B54" s="21" t="s">
        <v>9</v>
      </c>
      <c r="C54" s="22"/>
      <c r="D54" s="4">
        <f t="shared" ref="D54:I54" si="0">SUM(D37:D53)</f>
        <v>2</v>
      </c>
      <c r="E54" s="4">
        <f t="shared" si="0"/>
        <v>0</v>
      </c>
      <c r="F54" s="4">
        <f t="shared" si="0"/>
        <v>6</v>
      </c>
      <c r="G54" s="4">
        <f t="shared" si="0"/>
        <v>9</v>
      </c>
      <c r="H54" s="4">
        <f t="shared" si="0"/>
        <v>39</v>
      </c>
      <c r="I54" s="4">
        <f t="shared" si="0"/>
        <v>582</v>
      </c>
    </row>
  </sheetData>
  <mergeCells count="23">
    <mergeCell ref="B37:C37"/>
    <mergeCell ref="B1:J3"/>
    <mergeCell ref="C4:I4"/>
    <mergeCell ref="C27:I27"/>
    <mergeCell ref="A34:I34"/>
    <mergeCell ref="B36:C36"/>
    <mergeCell ref="B49:C49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50:C50"/>
    <mergeCell ref="B51:C51"/>
    <mergeCell ref="B52:C52"/>
    <mergeCell ref="B53:C53"/>
    <mergeCell ref="B54:C54"/>
  </mergeCells>
  <pageMargins left="0.51181102362204722" right="0.51181102362204722" top="0.78740157480314965" bottom="0.78740157480314965" header="0.31496062992125984" footer="0.31496062992125984"/>
  <pageSetup paperSize="9" scale="64" orientation="portrait" horizontalDpi="360" verticalDpi="360" r:id="rId1"/>
  <headerFooter>
    <oddHeader xml:space="preserve">&amp;L 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1º ano </vt:lpstr>
      <vt:lpstr>2º ano </vt:lpstr>
      <vt:lpstr>3º ano </vt:lpstr>
      <vt:lpstr>4º ano </vt:lpstr>
      <vt:lpstr>5º ano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</dc:creator>
  <cp:lastModifiedBy>Lenita</cp:lastModifiedBy>
  <cp:lastPrinted>2022-12-14T12:58:50Z</cp:lastPrinted>
  <dcterms:created xsi:type="dcterms:W3CDTF">2017-05-09T02:32:27Z</dcterms:created>
  <dcterms:modified xsi:type="dcterms:W3CDTF">2023-07-06T13:07:39Z</dcterms:modified>
</cp:coreProperties>
</file>